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9" activeTab="1"/>
  </bookViews>
  <sheets>
    <sheet name="Resumo " sheetId="1" r:id="rId1"/>
    <sheet name="Itinerário 1" sheetId="2" r:id="rId2"/>
    <sheet name="Itinerário 2" sheetId="3" r:id="rId3"/>
    <sheet name="Itinerário 3" sheetId="4" r:id="rId4"/>
    <sheet name="Itinerário 4" sheetId="5" r:id="rId5"/>
    <sheet name="Itinerário 5" sheetId="6" r:id="rId6"/>
    <sheet name="Itinerário 6" sheetId="7" r:id="rId7"/>
    <sheet name="Itinerário 7" sheetId="8" r:id="rId8"/>
    <sheet name="Itinerário 8" sheetId="9" r:id="rId9"/>
    <sheet name="Itinerário 9" sheetId="10" r:id="rId10"/>
    <sheet name="Itinerário 10" sheetId="11" r:id="rId11"/>
    <sheet name="Itinerário 11" sheetId="12" r:id="rId12"/>
    <sheet name="Itinerário 12" sheetId="13" r:id="rId13"/>
    <sheet name="Itinerário 13" sheetId="14" r:id="rId14"/>
    <sheet name="Itinerário 14" sheetId="15" r:id="rId15"/>
    <sheet name="Itinerário 15" sheetId="16" r:id="rId16"/>
    <sheet name="Itinerário 16" sheetId="17" r:id="rId17"/>
    <sheet name="Itinerário 17" sheetId="18" r:id="rId18"/>
    <sheet name="Itinerário 18" sheetId="19" r:id="rId19"/>
    <sheet name="Itinerário 19" sheetId="20" r:id="rId20"/>
    <sheet name="Itinerário 20" sheetId="21" r:id="rId21"/>
    <sheet name="Itinerário 21" sheetId="22" r:id="rId22"/>
    <sheet name="Itinerário 22" sheetId="23" r:id="rId23"/>
    <sheet name="Itinerário 23" sheetId="24" r:id="rId24"/>
    <sheet name="Itinerário 24" sheetId="25" r:id="rId25"/>
    <sheet name="Itinerário 25" sheetId="26" r:id="rId26"/>
    <sheet name="Itinerário 26" sheetId="27" r:id="rId27"/>
    <sheet name="Itinerário 27" sheetId="28" r:id="rId28"/>
    <sheet name="Roteiros" sheetId="29" r:id="rId29"/>
    <sheet name="Encargos Sociais" sheetId="30" r:id="rId30"/>
    <sheet name="BDI" sheetId="31" r:id="rId31"/>
    <sheet name="Depreciação" sheetId="32" r:id="rId32"/>
    <sheet name="ANP " sheetId="33" r:id="rId33"/>
  </sheets>
  <definedNames>
    <definedName name="_____LO25" localSheetId="10">#REF!</definedName>
    <definedName name="_____LO25" localSheetId="11">#REF!</definedName>
    <definedName name="_____LO25" localSheetId="12">#REF!</definedName>
    <definedName name="_____LO25" localSheetId="13">#REF!</definedName>
    <definedName name="_____LO25" localSheetId="14">#REF!</definedName>
    <definedName name="_____LO25" localSheetId="15">#REF!</definedName>
    <definedName name="_____LO25" localSheetId="16">#REF!</definedName>
    <definedName name="_____LO25" localSheetId="17">#REF!</definedName>
    <definedName name="_____LO25" localSheetId="18">#REF!</definedName>
    <definedName name="_____LO25" localSheetId="19">#REF!</definedName>
    <definedName name="_____LO25" localSheetId="2">#REF!</definedName>
    <definedName name="_____LO25" localSheetId="20">#REF!</definedName>
    <definedName name="_____LO25" localSheetId="21">#REF!</definedName>
    <definedName name="_____LO25" localSheetId="22">#REF!</definedName>
    <definedName name="_____LO25" localSheetId="23">#REF!</definedName>
    <definedName name="_____LO25" localSheetId="24">#REF!</definedName>
    <definedName name="_____LO25" localSheetId="25">#REF!</definedName>
    <definedName name="_____LO25" localSheetId="26">#REF!</definedName>
    <definedName name="_____LO25" localSheetId="3">#REF!</definedName>
    <definedName name="_____LO25" localSheetId="4">#REF!</definedName>
    <definedName name="_____LO25" localSheetId="5">#REF!</definedName>
    <definedName name="_____LO25" localSheetId="6">#REF!</definedName>
    <definedName name="_____LO25" localSheetId="7">#REF!</definedName>
    <definedName name="_____LO25" localSheetId="8">#REF!</definedName>
    <definedName name="_____LO25" localSheetId="9">#REF!</definedName>
    <definedName name="_____LO25">#REF!</definedName>
    <definedName name="____LO25" localSheetId="1">#REF!</definedName>
    <definedName name="____LO25" localSheetId="10">#REF!</definedName>
    <definedName name="____LO25" localSheetId="11">#REF!</definedName>
    <definedName name="____LO25" localSheetId="12">#REF!</definedName>
    <definedName name="____LO25" localSheetId="13">#REF!</definedName>
    <definedName name="____LO25" localSheetId="14">#REF!</definedName>
    <definedName name="____LO25" localSheetId="15">#REF!</definedName>
    <definedName name="____LO25" localSheetId="16">#REF!</definedName>
    <definedName name="____LO25" localSheetId="17">#REF!</definedName>
    <definedName name="____LO25" localSheetId="18">#REF!</definedName>
    <definedName name="____LO25" localSheetId="19">#REF!</definedName>
    <definedName name="____LO25" localSheetId="2">#REF!</definedName>
    <definedName name="____LO25" localSheetId="20">#REF!</definedName>
    <definedName name="____LO25" localSheetId="21">#REF!</definedName>
    <definedName name="____LO25" localSheetId="22">#REF!</definedName>
    <definedName name="____LO25" localSheetId="23">#REF!</definedName>
    <definedName name="____LO25" localSheetId="24">#REF!</definedName>
    <definedName name="____LO25" localSheetId="25">#REF!</definedName>
    <definedName name="____LO25" localSheetId="26">#REF!</definedName>
    <definedName name="____LO25" localSheetId="27">#REF!</definedName>
    <definedName name="____LO25" localSheetId="3">#REF!</definedName>
    <definedName name="____LO25" localSheetId="4">#REF!</definedName>
    <definedName name="____LO25" localSheetId="5">#REF!</definedName>
    <definedName name="____LO25" localSheetId="6">#REF!</definedName>
    <definedName name="____LO25" localSheetId="7">#REF!</definedName>
    <definedName name="____LO25" localSheetId="8">#REF!</definedName>
    <definedName name="____LO25" localSheetId="9">#REF!</definedName>
    <definedName name="____LO25">#REF!</definedName>
    <definedName name="___LO25" localSheetId="1">#REF!</definedName>
    <definedName name="___LO25" localSheetId="10">#REF!</definedName>
    <definedName name="___LO25" localSheetId="11">#REF!</definedName>
    <definedName name="___LO25" localSheetId="12">#REF!</definedName>
    <definedName name="___LO25" localSheetId="13">#REF!</definedName>
    <definedName name="___LO25" localSheetId="14">#REF!</definedName>
    <definedName name="___LO25" localSheetId="15">#REF!</definedName>
    <definedName name="___LO25" localSheetId="16">#REF!</definedName>
    <definedName name="___LO25" localSheetId="17">#REF!</definedName>
    <definedName name="___LO25" localSheetId="18">#REF!</definedName>
    <definedName name="___LO25" localSheetId="19">#REF!</definedName>
    <definedName name="___LO25" localSheetId="2">#REF!</definedName>
    <definedName name="___LO25" localSheetId="20">#REF!</definedName>
    <definedName name="___LO25" localSheetId="21">#REF!</definedName>
    <definedName name="___LO25" localSheetId="22">#REF!</definedName>
    <definedName name="___LO25" localSheetId="23">#REF!</definedName>
    <definedName name="___LO25" localSheetId="24">#REF!</definedName>
    <definedName name="___LO25" localSheetId="25">#REF!</definedName>
    <definedName name="___LO25" localSheetId="26">#REF!</definedName>
    <definedName name="___LO25" localSheetId="27">#REF!</definedName>
    <definedName name="___LO25" localSheetId="3">#REF!</definedName>
    <definedName name="___LO25" localSheetId="4">#REF!</definedName>
    <definedName name="___LO25" localSheetId="5">#REF!</definedName>
    <definedName name="___LO25" localSheetId="6">#REF!</definedName>
    <definedName name="___LO25" localSheetId="7">#REF!</definedName>
    <definedName name="___LO25" localSheetId="8">#REF!</definedName>
    <definedName name="___LO25" localSheetId="9">#REF!</definedName>
    <definedName name="___LO25">#REF!</definedName>
    <definedName name="__LO25" localSheetId="1">#REF!</definedName>
    <definedName name="__LO25" localSheetId="10">#REF!</definedName>
    <definedName name="__LO25" localSheetId="11">#REF!</definedName>
    <definedName name="__LO25" localSheetId="12">#REF!</definedName>
    <definedName name="__LO25" localSheetId="13">#REF!</definedName>
    <definedName name="__LO25" localSheetId="14">#REF!</definedName>
    <definedName name="__LO25" localSheetId="15">#REF!</definedName>
    <definedName name="__LO25" localSheetId="16">#REF!</definedName>
    <definedName name="__LO25" localSheetId="17">#REF!</definedName>
    <definedName name="__LO25" localSheetId="18">#REF!</definedName>
    <definedName name="__LO25" localSheetId="19">#REF!</definedName>
    <definedName name="__LO25" localSheetId="2">#REF!</definedName>
    <definedName name="__LO25" localSheetId="20">#REF!</definedName>
    <definedName name="__LO25" localSheetId="21">#REF!</definedName>
    <definedName name="__LO25" localSheetId="22">#REF!</definedName>
    <definedName name="__LO25" localSheetId="23">#REF!</definedName>
    <definedName name="__LO25" localSheetId="24">#REF!</definedName>
    <definedName name="__LO25" localSheetId="25">#REF!</definedName>
    <definedName name="__LO25" localSheetId="26">#REF!</definedName>
    <definedName name="__LO25" localSheetId="27">#REF!</definedName>
    <definedName name="__LO25" localSheetId="3">#REF!</definedName>
    <definedName name="__LO25" localSheetId="4">#REF!</definedName>
    <definedName name="__LO25" localSheetId="5">#REF!</definedName>
    <definedName name="__LO25" localSheetId="6">#REF!</definedName>
    <definedName name="__LO25" localSheetId="7">#REF!</definedName>
    <definedName name="__LO25" localSheetId="8">#REF!</definedName>
    <definedName name="__LO25" localSheetId="9">#REF!</definedName>
    <definedName name="__LO25">#REF!</definedName>
    <definedName name="_LO25" localSheetId="1">#REF!</definedName>
    <definedName name="_LO25" localSheetId="10">#REF!</definedName>
    <definedName name="_LO25" localSheetId="11">#REF!</definedName>
    <definedName name="_LO25" localSheetId="12">#REF!</definedName>
    <definedName name="_LO25" localSheetId="13">#REF!</definedName>
    <definedName name="_LO25" localSheetId="14">#REF!</definedName>
    <definedName name="_LO25" localSheetId="15">#REF!</definedName>
    <definedName name="_LO25" localSheetId="16">#REF!</definedName>
    <definedName name="_LO25" localSheetId="17">#REF!</definedName>
    <definedName name="_LO25" localSheetId="18">#REF!</definedName>
    <definedName name="_LO25" localSheetId="19">#REF!</definedName>
    <definedName name="_LO25" localSheetId="2">#REF!</definedName>
    <definedName name="_LO25" localSheetId="20">#REF!</definedName>
    <definedName name="_LO25" localSheetId="21">#REF!</definedName>
    <definedName name="_LO25" localSheetId="22">#REF!</definedName>
    <definedName name="_LO25" localSheetId="23">#REF!</definedName>
    <definedName name="_LO25" localSheetId="24">#REF!</definedName>
    <definedName name="_LO25" localSheetId="25">#REF!</definedName>
    <definedName name="_LO25" localSheetId="26">#REF!</definedName>
    <definedName name="_LO25" localSheetId="27">#REF!</definedName>
    <definedName name="_LO25" localSheetId="3">#REF!</definedName>
    <definedName name="_LO25" localSheetId="4">#REF!</definedName>
    <definedName name="_LO25" localSheetId="5">#REF!</definedName>
    <definedName name="_LO25" localSheetId="6">#REF!</definedName>
    <definedName name="_LO25" localSheetId="7">#REF!</definedName>
    <definedName name="_LO25" localSheetId="8">#REF!</definedName>
    <definedName name="_LO25" localSheetId="9">#REF!</definedName>
    <definedName name="_LO25">#REF!</definedName>
    <definedName name="_xlfn.IFERROR" hidden="1">#NAME?</definedName>
    <definedName name="_xlfn.SINGLE" hidden="1">#NAME?</definedName>
    <definedName name="AbaDeprec">'Depreciação'!$A$1</definedName>
    <definedName name="AbaRemun" localSheetId="10">#REF!</definedName>
    <definedName name="AbaRemun" localSheetId="11">#REF!</definedName>
    <definedName name="AbaRemun" localSheetId="12">#REF!</definedName>
    <definedName name="AbaRemun" localSheetId="13">#REF!</definedName>
    <definedName name="AbaRemun" localSheetId="14">#REF!</definedName>
    <definedName name="AbaRemun" localSheetId="15">#REF!</definedName>
    <definedName name="AbaRemun" localSheetId="16">#REF!</definedName>
    <definedName name="AbaRemun" localSheetId="17">#REF!</definedName>
    <definedName name="AbaRemun" localSheetId="18">#REF!</definedName>
    <definedName name="AbaRemun" localSheetId="19">#REF!</definedName>
    <definedName name="AbaRemun" localSheetId="2">#REF!</definedName>
    <definedName name="AbaRemun" localSheetId="20">#REF!</definedName>
    <definedName name="AbaRemun" localSheetId="21">#REF!</definedName>
    <definedName name="AbaRemun" localSheetId="22">#REF!</definedName>
    <definedName name="AbaRemun" localSheetId="23">#REF!</definedName>
    <definedName name="AbaRemun" localSheetId="24">#REF!</definedName>
    <definedName name="AbaRemun" localSheetId="25">#REF!</definedName>
    <definedName name="AbaRemun" localSheetId="26">#REF!</definedName>
    <definedName name="AbaRemun" localSheetId="3">#REF!</definedName>
    <definedName name="AbaRemun" localSheetId="4">#REF!</definedName>
    <definedName name="AbaRemun" localSheetId="5">#REF!</definedName>
    <definedName name="AbaRemun" localSheetId="6">#REF!</definedName>
    <definedName name="AbaRemun" localSheetId="7">#REF!</definedName>
    <definedName name="AbaRemun" localSheetId="8">#REF!</definedName>
    <definedName name="AbaRemun" localSheetId="9">#REF!</definedName>
    <definedName name="AbaRemun">#REF!</definedName>
    <definedName name="_xlnm.Print_Area" localSheetId="29">'Encargos Sociais'!$A$1:$C$40</definedName>
    <definedName name="_xlnm.Print_Area" localSheetId="0">'Resumo '!$A$1:$J$42</definedName>
    <definedName name="sesi" localSheetId="1">#REF!</definedName>
    <definedName name="sesi" localSheetId="10">#REF!</definedName>
    <definedName name="sesi" localSheetId="11">#REF!</definedName>
    <definedName name="sesi" localSheetId="12">#REF!</definedName>
    <definedName name="sesi" localSheetId="13">#REF!</definedName>
    <definedName name="sesi" localSheetId="14">#REF!</definedName>
    <definedName name="sesi" localSheetId="15">#REF!</definedName>
    <definedName name="sesi" localSheetId="16">#REF!</definedName>
    <definedName name="sesi" localSheetId="17">#REF!</definedName>
    <definedName name="sesi" localSheetId="18">#REF!</definedName>
    <definedName name="sesi" localSheetId="19">#REF!</definedName>
    <definedName name="sesi" localSheetId="2">#REF!</definedName>
    <definedName name="sesi" localSheetId="20">#REF!</definedName>
    <definedName name="sesi" localSheetId="21">#REF!</definedName>
    <definedName name="sesi" localSheetId="22">#REF!</definedName>
    <definedName name="sesi" localSheetId="23">#REF!</definedName>
    <definedName name="sesi" localSheetId="24">#REF!</definedName>
    <definedName name="sesi" localSheetId="25">#REF!</definedName>
    <definedName name="sesi" localSheetId="26">#REF!</definedName>
    <definedName name="sesi" localSheetId="27">#REF!</definedName>
    <definedName name="sesi" localSheetId="3">#REF!</definedName>
    <definedName name="sesi" localSheetId="4">#REF!</definedName>
    <definedName name="sesi" localSheetId="5">#REF!</definedName>
    <definedName name="sesi" localSheetId="6">#REF!</definedName>
    <definedName name="sesi" localSheetId="7">#REF!</definedName>
    <definedName name="sesi" localSheetId="8">#REF!</definedName>
    <definedName name="sesi" localSheetId="9">#REF!</definedName>
    <definedName name="sesi" localSheetId="0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<sst xmlns="http://schemas.openxmlformats.org/spreadsheetml/2006/main" count="6615" uniqueCount="486">
  <si>
    <t>%</t>
  </si>
  <si>
    <t>mês</t>
  </si>
  <si>
    <t>unidade</t>
  </si>
  <si>
    <t>km</t>
  </si>
  <si>
    <t>Benefícios e despesas indiretas</t>
  </si>
  <si>
    <t>Custo (R$/mês)</t>
  </si>
  <si>
    <t>Quantidade</t>
  </si>
  <si>
    <t>INSS</t>
  </si>
  <si>
    <t>FGTS</t>
  </si>
  <si>
    <t>Planilha de Composição de Custos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</si>
  <si>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</si>
  <si>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</si>
  <si>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</si>
  <si>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</si>
  <si>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</si>
  <si>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</si>
  <si>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</si>
  <si>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</si>
  <si>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</si>
  <si>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</si>
  <si>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</si>
  <si>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</si>
  <si>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</si>
  <si>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</si>
  <si>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</si>
  <si>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</si>
  <si>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Vida útil do chassis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</si>
  <si>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</si>
  <si>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</si>
  <si>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</si>
  <si>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</si>
  <si>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</si>
  <si>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</si>
  <si>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</si>
  <si>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</si>
  <si>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</si>
  <si>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</si>
  <si>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</si>
  <si>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</si>
  <si>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</si>
  <si>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</si>
  <si>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</si>
  <si>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</si>
  <si>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</si>
  <si>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</si>
  <si>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</si>
  <si>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</si>
  <si>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</si>
  <si>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</si>
  <si>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</si>
  <si>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</si>
  <si>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</si>
  <si>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</si>
  <si>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</si>
  <si>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</si>
  <si>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</si>
  <si>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</si>
  <si>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</si>
  <si>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</si>
  <si>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</si>
  <si>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</si>
  <si>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</si>
  <si>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</si>
  <si>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</si>
  <si>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</si>
  <si>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</si>
  <si>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</si>
  <si>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</si>
  <si>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</si>
  <si>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</si>
  <si>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</si>
  <si>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</si>
  <si>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</si>
  <si>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</si>
  <si>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</si>
  <si>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</si>
  <si>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</si>
  <si>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</si>
  <si>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</si>
  <si>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</si>
  <si>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</si>
  <si>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</si>
  <si>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</si>
  <si>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</si>
  <si>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</si>
  <si>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2. Preencher somente células em amarelo</t>
  </si>
  <si>
    <t>Idade do veículo (ano)</t>
  </si>
  <si>
    <t>Idade do veículo</t>
  </si>
  <si>
    <t>C2</t>
  </si>
  <si>
    <t>B3</t>
  </si>
  <si>
    <t xml:space="preserve">2. Composição dos Encargos Sociais </t>
  </si>
  <si>
    <t>Custo unitário</t>
  </si>
  <si>
    <t>Referência estudo TCE</t>
  </si>
  <si>
    <t>1. Esta planilha é somente um modelo-base e deve ser ajustada conforme cada caso concreto.</t>
  </si>
  <si>
    <t>Unid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</si>
  <si>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</si>
  <si>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</si>
  <si>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</si>
  <si>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</si>
  <si>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</si>
  <si>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</si>
  <si>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</si>
  <si>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</si>
  <si>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Distância</t>
  </si>
  <si>
    <t>m</t>
  </si>
  <si>
    <t>Trecho</t>
  </si>
  <si>
    <t>Tributos - PIS/COFINS/ e CPP se houver</t>
  </si>
  <si>
    <t>Valor R$</t>
  </si>
  <si>
    <t>TURNO</t>
  </si>
  <si>
    <t>TOTAL</t>
  </si>
  <si>
    <t>ALUNOS</t>
  </si>
  <si>
    <t>Km pavimentado</t>
  </si>
  <si>
    <t>Km total</t>
  </si>
  <si>
    <t>Tempo conduzindo o veículo</t>
  </si>
  <si>
    <t xml:space="preserve">Total horas </t>
  </si>
  <si>
    <t>Horas p/base de cálculo de custos</t>
  </si>
  <si>
    <t>Tempo total (horas)</t>
  </si>
  <si>
    <t>R$ seguro / aluno /mês</t>
  </si>
  <si>
    <t>Veículo</t>
  </si>
  <si>
    <t xml:space="preserve">Média de dias letivos/mês </t>
  </si>
  <si>
    <t>1- CUSTO VARIÁVEL</t>
  </si>
  <si>
    <t>TOTAL (Comb + Manut)</t>
  </si>
  <si>
    <t xml:space="preserve">2 - TOTAL CUSTO FIXO MENSAL </t>
  </si>
  <si>
    <t>SALÁRIO</t>
  </si>
  <si>
    <t>% Encargos</t>
  </si>
  <si>
    <t>Custo Mensal</t>
  </si>
  <si>
    <t xml:space="preserve">Meses </t>
  </si>
  <si>
    <t>SEGURO OBRIGATÓRIO ANUAL</t>
  </si>
  <si>
    <t>LICENCIAMENTO ANUAL</t>
  </si>
  <si>
    <t>Vale Refeição R$</t>
  </si>
  <si>
    <t xml:space="preserve">Dias Mês </t>
  </si>
  <si>
    <t>DEPRECIAÇÃO ANUAL</t>
  </si>
  <si>
    <t xml:space="preserve">Custo Anual por motorista </t>
  </si>
  <si>
    <t>SEGURO TERCEIROS/ALUNOS ANO</t>
  </si>
  <si>
    <t>QUANT. DE MOTORISTAS</t>
  </si>
  <si>
    <t xml:space="preserve">Depreciação </t>
  </si>
  <si>
    <t>MOTORISTA CUSTO ANUAL</t>
  </si>
  <si>
    <t>TOTAL CUSTO FIXO ANO</t>
  </si>
  <si>
    <t>Custo  chassis</t>
  </si>
  <si>
    <t>2.1 TOTAL CUSTO FIXO MENSAL</t>
  </si>
  <si>
    <t>TAXA USO VEÍCULO</t>
  </si>
  <si>
    <t>Deprec. do chassis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</si>
  <si>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</si>
  <si>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</si>
  <si>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</si>
  <si>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 val="single"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</si>
  <si>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</si>
  <si>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</si>
  <si>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5- PREÇO MENSAL TOTAL COM O TRANSPORTE ESCOLAR </t>
  </si>
  <si>
    <t xml:space="preserve">PREÇO MÁXIMO POR QUILÔMETRO RODADO </t>
  </si>
  <si>
    <t>Km total/dia</t>
  </si>
  <si>
    <t xml:space="preserve">Média de dias letivos mês </t>
  </si>
  <si>
    <t>km total/mês</t>
  </si>
  <si>
    <t xml:space="preserve">Custo por quilômetro rodado </t>
  </si>
  <si>
    <r>
      <t>b)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Percurso de: </t>
    </r>
  </si>
  <si>
    <t>quilômetros diários;</t>
  </si>
  <si>
    <r>
      <t>d)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Valor máximo por quilômetro rodado</t>
    </r>
  </si>
  <si>
    <t xml:space="preserve">Memória de cálculo dos custos de transportes escolares </t>
  </si>
  <si>
    <t xml:space="preserve">&gt;  Número de alunos - determinado conforme arquivo em Anexo (Rotas no Processo de Licitação)  </t>
  </si>
  <si>
    <t xml:space="preserve">&gt;  Turno de aula dos alunos - determinado pela Secretaria de Educação, conforme matriculas dos alunos.  </t>
  </si>
  <si>
    <t xml:space="preserve">&gt;  Distância percorrida da rota - determinado conforme arquivo em Anexo (Rotas no Processo de Licitação)  </t>
  </si>
  <si>
    <t xml:space="preserve">&gt;  Tempo conduzindo o veículo - se refere ao tempo entre o início do roteiro até a chegada ao colégio e o retorno.   </t>
  </si>
  <si>
    <t xml:space="preserve">&gt;  Tempo total de horas - é o somatório do tempo conduzindo o veículo mais o tempo de espera.  </t>
  </si>
  <si>
    <t>&gt;  Idade dos veículos -</t>
  </si>
  <si>
    <t>&gt;  Média de dias letivos/mês = total de dias letivos ano (201 dias) dividido por 10 meses (período de aula)</t>
  </si>
  <si>
    <t>&gt; Seguro Obrigatório - Valor apurado conforme pesquisa junto ao Detran/RS.</t>
  </si>
  <si>
    <t>&gt; Licenciamento - Valor apurado conforme pesquisa junto ao Detran/RS.</t>
  </si>
  <si>
    <t xml:space="preserve">&gt; Seguro de Terceiros/alunos ano - Conforme orçamento solicitado junto ao mercado. Valor de cobertura </t>
  </si>
  <si>
    <t xml:space="preserve">&gt; Custo do motorista - Foi determinado conforme tempo conduzindo o veículo nas rotas, bem como do tempo de </t>
  </si>
  <si>
    <t xml:space="preserve">Obs: Cada empresa deve prever os encargos sociais de acordo com a sua natureza jurídica.  </t>
  </si>
  <si>
    <t xml:space="preserve">&gt; Custo fixo total anual - contempla o somatório total dos custos fixos.  </t>
  </si>
  <si>
    <t>&gt; Custo fixo total mensal - contempla o somatório total dos custos fixos, dividido pelo número de 10 meses que é</t>
  </si>
  <si>
    <t xml:space="preserve">o período do ano letivo.  </t>
  </si>
  <si>
    <t xml:space="preserve">&gt; Custo total com despesas operacionais - contempla o somatário das despesas fixa e variáveis.  </t>
  </si>
  <si>
    <t xml:space="preserve">Obs: Cada empresa deve prever os Benefícios e Despesas Indiretas de acordo com a sua natureza jurídica.  </t>
  </si>
  <si>
    <t xml:space="preserve">&gt; Preço mensal total com transporte escolar - é o somatório das despesas operacionais, mais o BDI, para </t>
  </si>
  <si>
    <t>20 dias de aula no mês, sendo que o valor pode variar dependo do aumento ou a diminuição do número de</t>
  </si>
  <si>
    <t xml:space="preserve">dias letivos no mês correspondente.  </t>
  </si>
  <si>
    <t xml:space="preserve">&gt; Preço máximo por quilômetro rodado - é o preço mensal total com o transporte escolar, dividido pela </t>
  </si>
  <si>
    <t>ECZ, Assessoria, Consultoria e Treinamento Ltda</t>
  </si>
  <si>
    <t xml:space="preserve">Alunos </t>
  </si>
  <si>
    <t>Kms dia</t>
  </si>
  <si>
    <t xml:space="preserve">Dias/Mês 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</si>
  <si>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</si>
  <si>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</si>
  <si>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</si>
  <si>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</si>
  <si>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</si>
  <si>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>Custo aluno/ano</t>
  </si>
  <si>
    <t xml:space="preserve">Total </t>
  </si>
  <si>
    <t xml:space="preserve">Obs: Cada empresa deve prever os Benefícios e Despesas Indiretas de acordo com  </t>
  </si>
  <si>
    <t xml:space="preserve">a sua natureza jurídica. </t>
  </si>
  <si>
    <t>espera até à próxima rota. O valor foi determinado conforme convenção coletiva da categoria de trabalho 2019/2020.</t>
  </si>
  <si>
    <t xml:space="preserve">&gt;  Preço por litro do combustível - conforme preço médio determinado pela ANP.  </t>
  </si>
  <si>
    <t xml:space="preserve">1. Preencha previamente os dados de entrada na planilha </t>
  </si>
  <si>
    <t xml:space="preserve">&gt; Valor do veículo - Determinado pelo valor da FIPE de um veículo com idade média. </t>
  </si>
  <si>
    <t xml:space="preserve">&gt; Vistorias obrigatórias semestrais - Certificado de inspeção de segurança veicular, emitido por empresa credenciada Inmetro, </t>
  </si>
  <si>
    <t xml:space="preserve">do TCE/RS publicado no Manual de Coleta de Resíduos Sólidos (2019).  </t>
  </si>
  <si>
    <t xml:space="preserve">AGÊNCIA NACIONAL DO PETRÓLEO, GÁS NATURAL E BIOCOMBUSTÍVEIS - ANP </t>
  </si>
  <si>
    <t xml:space="preserve">COORDENADORIA DE DEFESA DA CONCORRÊNCIA </t>
  </si>
  <si>
    <t xml:space="preserve">SISTEMA DE LEVANTAMENTO DE PREÇOS </t>
  </si>
  <si>
    <t xml:space="preserve">Resumo I - OLEO DIESEL S10 R$/l </t>
  </si>
  <si>
    <t>RELAÇÃO DE POSTOS PESQUISADOS</t>
  </si>
  <si>
    <t>RAZÃO SOCIAL</t>
  </si>
  <si>
    <t>ENDEREÇO</t>
  </si>
  <si>
    <t>BAIRRO</t>
  </si>
  <si>
    <t>BANDEIRA</t>
  </si>
  <si>
    <t>PREÇO VENDA</t>
  </si>
  <si>
    <t>DATA COLETA</t>
  </si>
  <si>
    <t>BRANCA</t>
  </si>
  <si>
    <t>RAIZEN</t>
  </si>
  <si>
    <t>MÉDIA</t>
  </si>
  <si>
    <t>DESVIO PADRÃO</t>
  </si>
  <si>
    <t>VALOR MÍNIMO</t>
  </si>
  <si>
    <t>VALOR MÁXIMO</t>
  </si>
  <si>
    <t xml:space="preserve">média de previsão, em virtude de paradas para embarque e desembarque de alunos e também por ser </t>
  </si>
  <si>
    <t xml:space="preserve">parte das vias sem pavimentação.   </t>
  </si>
  <si>
    <r>
      <t xml:space="preserve">&gt; Custo do Capital Investido - determinado pelo valor do veículo multiplicado pela  Taxa </t>
    </r>
    <r>
      <rPr>
        <u val="single"/>
        <sz val="14"/>
        <rFont val="Arial"/>
        <family val="2"/>
      </rPr>
      <t xml:space="preserve">Selic atual.  </t>
    </r>
  </si>
  <si>
    <t xml:space="preserve">Previsão de kms/mês </t>
  </si>
  <si>
    <t xml:space="preserve">Custo do jogo de pneus </t>
  </si>
  <si>
    <t>Custo de recapagem</t>
  </si>
  <si>
    <t>km/jogo</t>
  </si>
  <si>
    <t>Custo mensal com pneus</t>
  </si>
  <si>
    <t>Nº de recapagens por pneu</t>
  </si>
  <si>
    <t>1.3 Pneus</t>
  </si>
  <si>
    <t xml:space="preserve">1.1 Combustível </t>
  </si>
  <si>
    <t xml:space="preserve">1.2 Manutenção e insumos </t>
  </si>
  <si>
    <t>Veículo no mínimo de 23 lugares</t>
  </si>
  <si>
    <t>&gt;  Combustível - óleo diesel, conforme determinado no manual do fabricante e da definição do veículo a ser utilizado</t>
  </si>
  <si>
    <t>1.1 Combustível  R$/litro conforme tabela ANP</t>
  </si>
  <si>
    <t xml:space="preserve">1.2 Custo de manutenção e insumos por km rodado </t>
  </si>
  <si>
    <t xml:space="preserve">&gt;  Custo de manutenção - considerado o custo por km/rodado pela média de mercado.   </t>
  </si>
  <si>
    <t xml:space="preserve">&gt;  Custo de pneus - considerado o custo por km/rodado pela média de mercado com 02 recapagens.  </t>
  </si>
  <si>
    <t xml:space="preserve">&gt; Depreciação anual - Considerando que uma vida útil de 15 anos possuí depreciação, conforme referencial </t>
  </si>
  <si>
    <t xml:space="preserve">&gt; Taxa de uso do veículo - foi considerado o tempo de horas trabalhadas na semana pelo total de horas previstas na convenção.  </t>
  </si>
  <si>
    <t>Plano de Saúde</t>
  </si>
  <si>
    <t>Tempo de espera (2:00 horas por turno)</t>
  </si>
  <si>
    <t xml:space="preserve">Total de Kms/litro previsão de consumo </t>
  </si>
  <si>
    <r>
      <t>c)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Turno –  manhã </t>
    </r>
  </si>
  <si>
    <t>&gt;  Veículo - tipo micro, ou van</t>
  </si>
  <si>
    <t xml:space="preserve">Total deve ser de no mínimo de 100 mil reais.  </t>
  </si>
  <si>
    <t xml:space="preserve"> Reg. no MTE: RS002180/2019. Os motoristas deverão ter o direito a uma  hora de intervalo para efetuar a sua refeição.</t>
  </si>
  <si>
    <t xml:space="preserve">Os encargos sociais foram determinados conforme legislação vigente, o vale refeição foi determinado conforme convenção coletiva. </t>
  </si>
  <si>
    <t xml:space="preserve">O valor anual foi determinado multiplicando por 11 meses, pois o 12 mês está previsto às férias,  já contemplado nos custos </t>
  </si>
  <si>
    <t xml:space="preserve">dos encargos, mais 20% dos encargos deste mês. </t>
  </si>
  <si>
    <t xml:space="preserve">&gt; BDI - Benefícios e Despesas Indiretas - foram determinados em estudo de mercado e ajustado conforme legislação atual.   </t>
  </si>
  <si>
    <t>Custo jg. compl. + 2 recap./ km rodado</t>
  </si>
  <si>
    <t xml:space="preserve">quilometragem média percorrida no mês.  </t>
  </si>
  <si>
    <t xml:space="preserve">Vistoria DETRAN, Certificado de registro e licenciamento veicular (CRLV) e tacógrafo. Valores conforme preço de mercado.  </t>
  </si>
  <si>
    <t xml:space="preserve">Kms percorridos por dia </t>
  </si>
  <si>
    <t xml:space="preserve">&gt;  Km/litro - foi determinado a média de 4,0 km/litro, conforme pesquisa de mercado (considerado 2/3 sobre a </t>
  </si>
  <si>
    <t>&gt;  Veículo - tipo micro</t>
  </si>
  <si>
    <t>Veículo no mínimo de 20 lugares</t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</si>
  <si>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Trajeto - Conforme Mapa em Anexo </t>
    </r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</si>
  <si>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Trajeto- Conforme Mapa em Anexo </t>
    </r>
  </si>
  <si>
    <t>Composição do BDI - Benefícios e Despesas Indiretas</t>
  </si>
  <si>
    <t>Depreciação Referencial (%)</t>
  </si>
  <si>
    <t>Dias da semana</t>
  </si>
  <si>
    <t>Und.</t>
  </si>
  <si>
    <t>Ponto a Ponto</t>
  </si>
  <si>
    <t>Trecho 01</t>
  </si>
  <si>
    <t>1 - 2</t>
  </si>
  <si>
    <t>Segunda á sexta</t>
  </si>
  <si>
    <t>x</t>
  </si>
  <si>
    <t>Trecho 02</t>
  </si>
  <si>
    <t>2 - 3</t>
  </si>
  <si>
    <t>Trecho 03</t>
  </si>
  <si>
    <t>3 - 4</t>
  </si>
  <si>
    <t>Trecho 04</t>
  </si>
  <si>
    <t>4 - 5</t>
  </si>
  <si>
    <t>Total Diário</t>
  </si>
  <si>
    <t>Km</t>
  </si>
  <si>
    <t>Trecho 05</t>
  </si>
  <si>
    <t>5 - 6</t>
  </si>
  <si>
    <t>Total Semanal</t>
  </si>
  <si>
    <t>Trecho 06</t>
  </si>
  <si>
    <t>6 - 7</t>
  </si>
  <si>
    <t>Total Mensal</t>
  </si>
  <si>
    <t>Trecho 07</t>
  </si>
  <si>
    <t>7 - 8</t>
  </si>
  <si>
    <t>Resumo do Percurso - Transporte Escolar</t>
  </si>
  <si>
    <t>Distância total diária:</t>
  </si>
  <si>
    <t>RESUMO DOS ITINERÁRIOS COM AS RESPECTIVAS ROTAS</t>
  </si>
  <si>
    <t>Resumo dos Itinerários</t>
  </si>
  <si>
    <t xml:space="preserve">Itinerário 02 – Compreende as rotas:  </t>
  </si>
  <si>
    <t xml:space="preserve">Itinerário 01 – Compreende as rotas:  </t>
  </si>
  <si>
    <t xml:space="preserve">Itinerário 03 – Compreende as rotas:  </t>
  </si>
  <si>
    <t xml:space="preserve">Itinerário 04 – Compreende as rotas:  </t>
  </si>
  <si>
    <t xml:space="preserve">Itinerário 05 – Compreende as rotas:  </t>
  </si>
  <si>
    <t xml:space="preserve">Itinerário 06 – Compreende as rotas:  </t>
  </si>
  <si>
    <t xml:space="preserve">Itinerário 07 – Compreende as rotas:  </t>
  </si>
  <si>
    <t xml:space="preserve">Itinerário 08 – Compreende as rotas:  </t>
  </si>
  <si>
    <t xml:space="preserve">Itinerário 09 – Compreende as rotas:  </t>
  </si>
  <si>
    <t xml:space="preserve">Periodo -  Inicio da Manhã </t>
  </si>
  <si>
    <t>Trecho 08</t>
  </si>
  <si>
    <t>8 - 9</t>
  </si>
  <si>
    <t>Total dos percursos de transporte escolar + Deslocamento</t>
  </si>
  <si>
    <t xml:space="preserve">Período do dia -  Inicio da Manhã </t>
  </si>
  <si>
    <t>TOTAL MENSAL = LINHAS DE TRANSPORTE ESCOLAR</t>
  </si>
  <si>
    <t>Total dos turnos de transporte</t>
  </si>
  <si>
    <t>LINHAS DE TRANSPORTE ESCOLAR - Linha 1</t>
  </si>
  <si>
    <t>LINHAS DE TRANSPORTE ESCOLAR - Linha 2</t>
  </si>
  <si>
    <t>LINHAS DE TRANSPORTE ESCOLAR - Linha 3</t>
  </si>
  <si>
    <t>LINHAS DE TRANSPORTE ESCOLAR - Linha 4</t>
  </si>
  <si>
    <t>LINHAS DE TRANSPORTE ESCOLAR - Linha 5</t>
  </si>
  <si>
    <t>LINHAS DE TRANSPORTE ESCOLAR - Linha 6</t>
  </si>
  <si>
    <t>LINHAS DE TRANSPORTE ESCOLAR - Linha 7</t>
  </si>
  <si>
    <t>LINHAS DE TRANSPORTE ESCOLAR - Linha 8</t>
  </si>
  <si>
    <t>LINHAS DE TRANSPORTE ESCOLAR - Linha 9</t>
  </si>
  <si>
    <t xml:space="preserve">Período -  Início da Manhã </t>
  </si>
  <si>
    <t>Cor Linha</t>
  </si>
  <si>
    <t xml:space="preserve">Período do dia -  Início da Manhã </t>
  </si>
  <si>
    <t xml:space="preserve">Início da Linha - Final da Linha </t>
  </si>
  <si>
    <t>Período do dia -  Meio - dia ( sentido contrário do Início da manhã )</t>
  </si>
  <si>
    <t>Linha 1</t>
  </si>
  <si>
    <t>Nu. Linhas Semanal</t>
  </si>
  <si>
    <t>Linha 2</t>
  </si>
  <si>
    <t>Linha 3</t>
  </si>
  <si>
    <t>Linha 4</t>
  </si>
  <si>
    <t>Linha 5</t>
  </si>
  <si>
    <t>Linha 6</t>
  </si>
  <si>
    <t>Linha 7</t>
  </si>
  <si>
    <t>Linha 8</t>
  </si>
  <si>
    <t>Linha 9</t>
  </si>
  <si>
    <t>Início da Manhã: Ida</t>
  </si>
  <si>
    <t>LINHAS DE TRANSPORTE ESCOLAR - Linha 10</t>
  </si>
  <si>
    <t>LINHAS DE TRANSPORTE ESCOLAR - Linha 11</t>
  </si>
  <si>
    <t>LINHAS DE TRANSPORTE ESCOLAR - Linha 12</t>
  </si>
  <si>
    <t>LINHAS DE TRANSPORTE ESCOLAR - Linha 13</t>
  </si>
  <si>
    <t>LINHAS DE TRANSPORTE ESCOLAR - Linha 14</t>
  </si>
  <si>
    <t>LINHAS DE TRANSPORTE ESCOLAR - Linha 17</t>
  </si>
  <si>
    <t>LINHAS DE TRANSPORTE ESCOLAR - Linha 18</t>
  </si>
  <si>
    <t>LINHAS DE TRANSPORTE ESCOLAR - Linha 15</t>
  </si>
  <si>
    <t>Período do dia -  Meio - dia ( sentido contrario do Inicio da manhã )</t>
  </si>
  <si>
    <t>LINHAS DE TRANSPORTE ESCOLAR - Linha 19</t>
  </si>
  <si>
    <t>LINHAS DE TRANSPORTE ESCOLAR - Linha 20</t>
  </si>
  <si>
    <t>LINHAS DE TRANSPORTE ESCOLAR - Linha 21</t>
  </si>
  <si>
    <t>LINHAS DE TRANSPORTE ESCOLAR - Linha 22</t>
  </si>
  <si>
    <t>LINHAS DE TRANSPORTE ESCOLAR - Linha 23</t>
  </si>
  <si>
    <t>LINHAS DE TRANSPORTE ESCOLAR - Linha 24</t>
  </si>
  <si>
    <t>LINHAS DE TRANSPORTE ESCOLAR - Linha 25</t>
  </si>
  <si>
    <t>LINHAS DE TRANSPORTE ESCOLAR - Linha 26</t>
  </si>
  <si>
    <t>Linha 20</t>
  </si>
  <si>
    <t>Linha 21</t>
  </si>
  <si>
    <t>Linha 22</t>
  </si>
  <si>
    <t>Linha 23</t>
  </si>
  <si>
    <t>Linha 24</t>
  </si>
  <si>
    <t>Linha 25</t>
  </si>
  <si>
    <t>Linha 26</t>
  </si>
  <si>
    <t>Serviço de Transporte Escolar - Espumoso/RS</t>
  </si>
  <si>
    <t>Período do dia -  Final da Tarde</t>
  </si>
  <si>
    <t>Periodo -  Inicio da Tarde</t>
  </si>
  <si>
    <t>Período do dia -  Meio-dia</t>
  </si>
  <si>
    <t>Período do dia -  Meio - dia</t>
  </si>
  <si>
    <t>Linha 17</t>
  </si>
  <si>
    <t>Linha 18</t>
  </si>
  <si>
    <t>Linha 15</t>
  </si>
  <si>
    <t>Linha 14</t>
  </si>
  <si>
    <t>Linha 13</t>
  </si>
  <si>
    <t>Linha 12</t>
  </si>
  <si>
    <t>Linha 11</t>
  </si>
  <si>
    <t>Linha 10</t>
  </si>
  <si>
    <t>Final da Linha - Escolas</t>
  </si>
  <si>
    <t xml:space="preserve"> Escolas - Início da Linha</t>
  </si>
  <si>
    <t xml:space="preserve">LINHAS DE TRANSPORTE ESCOLAR - Linha 16 </t>
  </si>
  <si>
    <t>Período do dia -  Final da Tarde ( sentido contrario do meio dia )</t>
  </si>
  <si>
    <t>Meio dia: Ida</t>
  </si>
  <si>
    <t>Final da Tarde: Volta</t>
  </si>
  <si>
    <t xml:space="preserve"> Final da Linha - Início da Linha</t>
  </si>
  <si>
    <t>Meio dia: Ida e Volta</t>
  </si>
  <si>
    <t>Meio dia: Volta</t>
  </si>
  <si>
    <t>Professores - Início da Linha</t>
  </si>
  <si>
    <t>Final da Linha - Professores</t>
  </si>
  <si>
    <t>Distância total dos Trechos:</t>
  </si>
  <si>
    <t>Período do dia -  Meio - dia ( Volta Manhã e Busca da Tarde )</t>
  </si>
  <si>
    <t>Período do dia -  Final da Tarde ( sentido contrário do meio dia )</t>
  </si>
  <si>
    <t>Linha 16</t>
  </si>
  <si>
    <t>Linhas</t>
  </si>
  <si>
    <t xml:space="preserve">Linha 1  </t>
  </si>
  <si>
    <t xml:space="preserve">Linha 4 </t>
  </si>
  <si>
    <t xml:space="preserve">Linha 5 </t>
  </si>
  <si>
    <t xml:space="preserve">Linha 6 </t>
  </si>
  <si>
    <t xml:space="preserve">Linha 8 </t>
  </si>
  <si>
    <t xml:space="preserve">Linha 9 </t>
  </si>
  <si>
    <t xml:space="preserve">Linha 10 </t>
  </si>
  <si>
    <t xml:space="preserve">Linha 11 </t>
  </si>
  <si>
    <t xml:space="preserve">Linha 12 </t>
  </si>
  <si>
    <t xml:space="preserve">Linha 14 </t>
  </si>
  <si>
    <t xml:space="preserve">Linha 15 </t>
  </si>
  <si>
    <t xml:space="preserve">Linha 16 </t>
  </si>
  <si>
    <t xml:space="preserve">Linha 17 </t>
  </si>
  <si>
    <t>Linha 19</t>
  </si>
  <si>
    <t xml:space="preserve">Linha 23 </t>
  </si>
  <si>
    <t xml:space="preserve">Linha 24 </t>
  </si>
  <si>
    <t xml:space="preserve">Linha 25 </t>
  </si>
  <si>
    <t xml:space="preserve">Linha 26 </t>
  </si>
  <si>
    <t>PARAMÊTROS PARA CÁLCULO DE CUSTO DA LINHA</t>
  </si>
  <si>
    <t xml:space="preserve">Itinerário 10 – Compreende as rotas:  </t>
  </si>
  <si>
    <t xml:space="preserve">Itinerário 11 – Compreende as rotas:  </t>
  </si>
  <si>
    <t xml:space="preserve">Itinerário 12 – Compreende as rotas:  </t>
  </si>
  <si>
    <t xml:space="preserve">Itinerário 13 – Compreende as rotas:  </t>
  </si>
  <si>
    <t xml:space="preserve">Itinerário 14 – Compreende as rotas:  </t>
  </si>
  <si>
    <t xml:space="preserve">Itinerário 15 – Compreende as rotas:  </t>
  </si>
  <si>
    <t xml:space="preserve">Itinerário 16 – Compreende as rotas:  </t>
  </si>
  <si>
    <t xml:space="preserve">Itinerário 17 – Compreende as rotas:  </t>
  </si>
  <si>
    <t xml:space="preserve">Itinerário 18 – Compreende as rotas:  </t>
  </si>
  <si>
    <t xml:space="preserve">Itinerário 19 – Compreende as rotas:  </t>
  </si>
  <si>
    <t xml:space="preserve">Itinerário 20 – Compreende as rotas:  </t>
  </si>
  <si>
    <t xml:space="preserve">Itinerário 21 – Compreende as rotas:  </t>
  </si>
  <si>
    <t xml:space="preserve">Itinerário 22 – Compreende as rotas:  </t>
  </si>
  <si>
    <t xml:space="preserve">Itinerário 23 – Compreende as rotas:  </t>
  </si>
  <si>
    <t xml:space="preserve">Itinerário 24 – Compreende as rotas:  </t>
  </si>
  <si>
    <t xml:space="preserve">Itinerário 25 – Compreende as rotas:  </t>
  </si>
  <si>
    <t xml:space="preserve">Itinerário 26 – Compreende as rotas:  </t>
  </si>
  <si>
    <t xml:space="preserve">Final da Tarde </t>
  </si>
  <si>
    <t>Noite</t>
  </si>
  <si>
    <t xml:space="preserve">Inicio da Manhã </t>
  </si>
  <si>
    <t xml:space="preserve">Meio Dia </t>
  </si>
  <si>
    <t>1:00 hora</t>
  </si>
  <si>
    <t>0:45 hora</t>
  </si>
  <si>
    <t>0:00 hora</t>
  </si>
  <si>
    <t>1:15 hora</t>
  </si>
  <si>
    <t>1:55 hora</t>
  </si>
  <si>
    <t>0:55 hora</t>
  </si>
  <si>
    <t>1:40 hora</t>
  </si>
  <si>
    <t>0:50 hora</t>
  </si>
  <si>
    <t>22 volta</t>
  </si>
  <si>
    <t>15 volta</t>
  </si>
  <si>
    <t>15 volta e ida</t>
  </si>
  <si>
    <t>14 volta e ida</t>
  </si>
  <si>
    <t>20 volta</t>
  </si>
  <si>
    <t>1:30 hora</t>
  </si>
  <si>
    <t>19 volta</t>
  </si>
  <si>
    <t>2:00 hora</t>
  </si>
  <si>
    <t>1:20 hora</t>
  </si>
  <si>
    <t>24 volta</t>
  </si>
  <si>
    <t>0:40 hora</t>
  </si>
  <si>
    <t>14 volta</t>
  </si>
  <si>
    <t>VISTÓRIAS SEMEST. (02 VEZES ANO)</t>
  </si>
  <si>
    <t>&gt;  Veículo - micro, van ou kombi</t>
  </si>
  <si>
    <t>Veículo no mínimo de 16 lugares</t>
  </si>
  <si>
    <t>Trecho 09</t>
  </si>
  <si>
    <t>9 - 10</t>
  </si>
  <si>
    <t>Desconto da Vila Borão</t>
  </si>
  <si>
    <t>Escolas Cidade</t>
  </si>
  <si>
    <t>1:50 hora</t>
  </si>
  <si>
    <t>Veículo no máximo 25 anos de uso (fabricação acima de 1997) - Base Tabela FIPE</t>
  </si>
  <si>
    <t>CUSTO CAP. INVEST. ANO (10,75%)</t>
  </si>
  <si>
    <t>Centro</t>
  </si>
  <si>
    <t>23 volta</t>
  </si>
  <si>
    <t>Veículo no mínimo de 24 lugares</t>
  </si>
  <si>
    <t xml:space="preserve">&gt;  Veículo - tipo micro-ônibus </t>
  </si>
  <si>
    <t xml:space="preserve">&gt;  Veículo - tipo micro, </t>
  </si>
  <si>
    <t>PREGÃO PRESENCIAL   /2022</t>
  </si>
  <si>
    <t>&gt;  Veículo - micro, ou kombi</t>
  </si>
  <si>
    <t>24 Volta</t>
  </si>
  <si>
    <t xml:space="preserve">Período: De 20/03/2022 a 26/03/2022 </t>
  </si>
  <si>
    <t>Sao Cristovao</t>
  </si>
  <si>
    <t>Espumoso, 29 de março de 2022</t>
  </si>
  <si>
    <t>Síntese dos Preços Praticados - LAJEADO</t>
  </si>
  <si>
    <t>ABASTECEDORA DE COMBUSTIVEIS AMAZONAS LTDA</t>
  </si>
  <si>
    <t>AVENIDA AMAZONAS, 2900</t>
  </si>
  <si>
    <t>ALESAT</t>
  </si>
  <si>
    <t>ABASTECEDORA DE COMBUSTIVEIS EDAM LTDA</t>
  </si>
  <si>
    <t>RODOVIA BR-386, 5615</t>
  </si>
  <si>
    <t>Olarias</t>
  </si>
  <si>
    <t>COMERCIO DE COMBUSTIVEIS AUGUSTIN LTDA</t>
  </si>
  <si>
    <t>RUA JOAO GOULART, 2209</t>
  </si>
  <si>
    <t>CHARRUA</t>
  </si>
  <si>
    <t>COMERCIO DE COMBUSTIVEIS NEVOEIRO LTDA</t>
  </si>
  <si>
    <t>RODOVIA BR 386, 6584 SALA 07</t>
  </si>
  <si>
    <t>Bom Pastor</t>
  </si>
  <si>
    <t>AUTO POSTO UNIVERSITARIO LTDA</t>
  </si>
  <si>
    <t>AVENIDA AMAZONAS, 2650</t>
  </si>
  <si>
    <t>Data de Emissão : 29/03/2022</t>
  </si>
  <si>
    <t xml:space="preserve">Linha 27  </t>
  </si>
  <si>
    <t>Inicio da Tarde</t>
  </si>
  <si>
    <t>LINHAS DE TRANSPORTE ESCOLAR - Linha 27</t>
  </si>
  <si>
    <t>Período do dia -  Início da Tarde</t>
  </si>
  <si>
    <t>Período do dia -  Final da Tarde ( sentido contrário do Início da tarde )</t>
  </si>
  <si>
    <t>Início da Tarde: Ida</t>
  </si>
  <si>
    <t>33 volta</t>
  </si>
  <si>
    <t>Veículo no mínimo de 33 lugares</t>
  </si>
  <si>
    <t xml:space="preserve">Itinerário 27 – Compreende as rotas:  </t>
  </si>
  <si>
    <t>Veículo no mínimo de 15 lugares</t>
  </si>
  <si>
    <t>PREGÃO PRESENCIAL   008/2022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</si>
</sst>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_);_(* \(#,##0\);_(* &quot;-&quot;??_);_(@_)"/>
    <numFmt numFmtId="172" formatCode="&quot;R$ &quot;#,##0.00"/>
    <numFmt numFmtId="173" formatCode="_-* #,##0.0_-;\-* #,##0.0_-;_-* &quot;-&quot;??_-;_-@_-"/>
    <numFmt numFmtId="174" formatCode="_ * #,##0.00_ ;_ * \-#,##0.00_ ;_ * &quot;-&quot;??_ ;_ @_ "/>
    <numFmt numFmtId="175" formatCode="#,##0.00;[Red]#,##0.00"/>
    <numFmt numFmtId="176" formatCode="0.000"/>
    <numFmt numFmtId="177" formatCode="#,##0.000"/>
    <numFmt numFmtId="178" formatCode="_(&quot;R$ &quot;* #,##0.00_);_(&quot;R$ &quot;* \(#,##0.00\);_(&quot;R$ &quot;* &quot;-&quot;??_);_(@_)"/>
    <numFmt numFmtId="179" formatCode="#,##0.00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[$-416]dddd\,\ d&quot; de &quot;mmmm&quot; de &quot;yyyy"/>
    <numFmt numFmtId="186" formatCode="#,##0.0"/>
    <numFmt numFmtId="187" formatCode="0.0%"/>
    <numFmt numFmtId="188" formatCode="_(* #,##0.000_);_(* \(#,##0.0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4"/>
      <name val="Arial"/>
      <family val="2"/>
    </font>
    <font>
      <b/>
      <sz val="1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C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094AE"/>
        <bgColor indexed="64"/>
      </patternFill>
    </fill>
    <fill>
      <patternFill patternType="solid">
        <fgColor rgb="FFEFEFE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0" fontId="0" fillId="0" borderId="0" xfId="11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2" fontId="56" fillId="33" borderId="10" xfId="0" applyNumberFormat="1" applyFont="1" applyFill="1" applyBorder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2" fontId="56" fillId="33" borderId="13" xfId="0" applyNumberFormat="1" applyFont="1" applyFill="1" applyBorder="1" applyAlignment="1">
      <alignment horizontal="right" vertical="center"/>
    </xf>
    <xf numFmtId="0" fontId="5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0" fontId="56" fillId="0" borderId="14" xfId="0" applyNumberFormat="1" applyFont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10" fontId="57" fillId="0" borderId="14" xfId="0" applyNumberFormat="1" applyFont="1" applyBorder="1" applyAlignment="1">
      <alignment horizontal="right" vertical="center"/>
    </xf>
    <xf numFmtId="0" fontId="56" fillId="34" borderId="11" xfId="0" applyFont="1" applyFill="1" applyBorder="1" applyAlignment="1">
      <alignment horizontal="left" vertical="center"/>
    </xf>
    <xf numFmtId="0" fontId="57" fillId="34" borderId="10" xfId="0" applyFont="1" applyFill="1" applyBorder="1" applyAlignment="1">
      <alignment horizontal="left" vertical="center"/>
    </xf>
    <xf numFmtId="10" fontId="57" fillId="34" borderId="14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10" fontId="0" fillId="0" borderId="0" xfId="0" applyNumberFormat="1" applyFont="1" applyAlignment="1">
      <alignment/>
    </xf>
    <xf numFmtId="9" fontId="56" fillId="0" borderId="0" xfId="77" applyFont="1" applyBorder="1" applyAlignment="1">
      <alignment horizontal="right" vertical="center"/>
    </xf>
    <xf numFmtId="10" fontId="0" fillId="0" borderId="0" xfId="0" applyNumberFormat="1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56" fillId="35" borderId="12" xfId="0" applyFont="1" applyFill="1" applyBorder="1" applyAlignment="1">
      <alignment horizontal="left" vertical="center"/>
    </xf>
    <xf numFmtId="0" fontId="57" fillId="35" borderId="13" xfId="0" applyFont="1" applyFill="1" applyBorder="1" applyAlignment="1">
      <alignment horizontal="left" vertical="center"/>
    </xf>
    <xf numFmtId="10" fontId="57" fillId="35" borderId="15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10" fontId="57" fillId="0" borderId="0" xfId="0" applyNumberFormat="1" applyFont="1" applyFill="1" applyBorder="1" applyAlignment="1">
      <alignment horizontal="right" vertical="center"/>
    </xf>
    <xf numFmtId="0" fontId="59" fillId="36" borderId="0" xfId="0" applyFont="1" applyFill="1" applyBorder="1" applyAlignment="1">
      <alignment horizontal="left" vertical="center"/>
    </xf>
    <xf numFmtId="10" fontId="56" fillId="0" borderId="0" xfId="0" applyNumberFormat="1" applyFont="1" applyFill="1" applyBorder="1" applyAlignment="1">
      <alignment horizontal="right" vertical="center"/>
    </xf>
    <xf numFmtId="0" fontId="56" fillId="36" borderId="0" xfId="0" applyFont="1" applyFill="1" applyBorder="1" applyAlignment="1">
      <alignment horizontal="left" vertical="center"/>
    </xf>
    <xf numFmtId="10" fontId="56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10" fontId="57" fillId="0" borderId="0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 horizontal="justify" vertical="center"/>
    </xf>
    <xf numFmtId="0" fontId="6" fillId="0" borderId="0" xfId="44" applyFont="1" applyBorder="1" applyAlignment="1" applyProtection="1">
      <alignment horizontal="left" vertical="center"/>
      <protection/>
    </xf>
    <xf numFmtId="0" fontId="61" fillId="0" borderId="0" xfId="0" applyFont="1" applyBorder="1" applyAlignment="1">
      <alignment/>
    </xf>
    <xf numFmtId="0" fontId="56" fillId="0" borderId="0" xfId="0" applyFont="1" applyBorder="1" applyAlignment="1">
      <alignment horizontal="right" vertical="center"/>
    </xf>
    <xf numFmtId="0" fontId="6" fillId="0" borderId="0" xfId="44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9" fontId="4" fillId="0" borderId="11" xfId="77" applyFont="1" applyBorder="1" applyAlignment="1">
      <alignment/>
    </xf>
    <xf numFmtId="9" fontId="4" fillId="0" borderId="10" xfId="77" applyFont="1" applyBorder="1" applyAlignment="1">
      <alignment horizontal="center"/>
    </xf>
    <xf numFmtId="9" fontId="4" fillId="0" borderId="14" xfId="77" applyFont="1" applyBorder="1" applyAlignment="1">
      <alignment/>
    </xf>
    <xf numFmtId="10" fontId="4" fillId="0" borderId="14" xfId="77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0" fontId="4" fillId="37" borderId="14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37" borderId="10" xfId="77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0" fontId="4" fillId="37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0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/>
    </xf>
    <xf numFmtId="10" fontId="5" fillId="34" borderId="25" xfId="0" applyNumberFormat="1" applyFont="1" applyFill="1" applyBorder="1" applyAlignment="1">
      <alignment horizontal="center" vertical="center" wrapText="1"/>
    </xf>
    <xf numFmtId="10" fontId="4" fillId="0" borderId="11" xfId="77" applyNumberFormat="1" applyFont="1" applyBorder="1" applyAlignment="1">
      <alignment horizontal="right"/>
    </xf>
    <xf numFmtId="10" fontId="4" fillId="0" borderId="10" xfId="77" applyNumberFormat="1" applyFont="1" applyBorder="1" applyAlignment="1">
      <alignment horizontal="right"/>
    </xf>
    <xf numFmtId="10" fontId="4" fillId="0" borderId="14" xfId="77" applyNumberFormat="1" applyFont="1" applyBorder="1" applyAlignment="1">
      <alignment horizontal="right"/>
    </xf>
    <xf numFmtId="10" fontId="4" fillId="0" borderId="12" xfId="77" applyNumberFormat="1" applyFont="1" applyBorder="1" applyAlignment="1">
      <alignment horizontal="right"/>
    </xf>
    <xf numFmtId="10" fontId="4" fillId="0" borderId="13" xfId="77" applyNumberFormat="1" applyFont="1" applyBorder="1" applyAlignment="1">
      <alignment horizontal="right"/>
    </xf>
    <xf numFmtId="10" fontId="4" fillId="0" borderId="15" xfId="77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4" fontId="6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59" applyFont="1" applyFill="1" applyBorder="1" applyAlignment="1">
      <alignment/>
      <protection/>
    </xf>
    <xf numFmtId="4" fontId="3" fillId="0" borderId="0" xfId="59" applyFont="1" applyFill="1" applyBorder="1" applyAlignment="1">
      <alignment horizontal="center"/>
      <protection/>
    </xf>
    <xf numFmtId="4" fontId="0" fillId="0" borderId="0" xfId="59" applyFont="1">
      <alignment/>
      <protection/>
    </xf>
    <xf numFmtId="0" fontId="5" fillId="0" borderId="0" xfId="59" applyNumberFormat="1" applyFont="1" applyFill="1" applyBorder="1" applyAlignment="1">
      <alignment vertical="center"/>
      <protection/>
    </xf>
    <xf numFmtId="0" fontId="5" fillId="0" borderId="0" xfId="59" applyNumberFormat="1" applyFont="1" applyFill="1" applyBorder="1" applyAlignment="1">
      <alignment horizontal="center" vertical="center"/>
      <protection/>
    </xf>
    <xf numFmtId="4" fontId="3" fillId="0" borderId="0" xfId="59" applyFont="1" applyFill="1" applyBorder="1" applyAlignment="1">
      <alignment horizontal="left"/>
      <protection/>
    </xf>
    <xf numFmtId="4" fontId="3" fillId="0" borderId="10" xfId="59" applyFont="1" applyBorder="1" applyAlignment="1">
      <alignment horizontal="left"/>
      <protection/>
    </xf>
    <xf numFmtId="4" fontId="3" fillId="0" borderId="10" xfId="59" applyFont="1" applyBorder="1" applyAlignment="1">
      <alignment horizontal="center"/>
      <protection/>
    </xf>
    <xf numFmtId="4" fontId="9" fillId="0" borderId="0" xfId="59" applyFont="1">
      <alignment/>
      <protection/>
    </xf>
    <xf numFmtId="0" fontId="9" fillId="38" borderId="10" xfId="59" applyNumberFormat="1" applyFont="1" applyFill="1" applyBorder="1" applyAlignment="1">
      <alignment horizontal="center"/>
      <protection/>
    </xf>
    <xf numFmtId="0" fontId="3" fillId="38" borderId="10" xfId="59" applyNumberFormat="1" applyFont="1" applyFill="1" applyBorder="1" applyAlignment="1">
      <alignment horizontal="center"/>
      <protection/>
    </xf>
    <xf numFmtId="170" fontId="9" fillId="38" borderId="10" xfId="89" applyNumberFormat="1" applyFont="1" applyFill="1" applyBorder="1" applyAlignment="1">
      <alignment horizontal="center"/>
    </xf>
    <xf numFmtId="170" fontId="3" fillId="38" borderId="10" xfId="89" applyNumberFormat="1" applyFont="1" applyFill="1" applyBorder="1" applyAlignment="1">
      <alignment horizontal="center"/>
    </xf>
    <xf numFmtId="170" fontId="3" fillId="0" borderId="10" xfId="89" applyNumberFormat="1" applyFont="1" applyBorder="1" applyAlignment="1">
      <alignment horizontal="center"/>
    </xf>
    <xf numFmtId="4" fontId="3" fillId="0" borderId="10" xfId="59" applyFont="1" applyBorder="1">
      <alignment/>
      <protection/>
    </xf>
    <xf numFmtId="177" fontId="9" fillId="0" borderId="0" xfId="59" applyNumberFormat="1" applyFont="1">
      <alignment/>
      <protection/>
    </xf>
    <xf numFmtId="4" fontId="9" fillId="0" borderId="0" xfId="59" applyFont="1" applyAlignment="1">
      <alignment horizontal="right"/>
      <protection/>
    </xf>
    <xf numFmtId="170" fontId="3" fillId="36" borderId="10" xfId="89" applyNumberFormat="1" applyFont="1" applyFill="1" applyBorder="1" applyAlignment="1">
      <alignment horizontal="center"/>
    </xf>
    <xf numFmtId="171" fontId="3" fillId="38" borderId="10" xfId="89" applyNumberFormat="1" applyFont="1" applyFill="1" applyBorder="1" applyAlignment="1">
      <alignment horizontal="center"/>
    </xf>
    <xf numFmtId="4" fontId="3" fillId="39" borderId="10" xfId="59" applyFont="1" applyFill="1" applyBorder="1" applyAlignment="1">
      <alignment/>
      <protection/>
    </xf>
    <xf numFmtId="4" fontId="3" fillId="39" borderId="10" xfId="59" applyFont="1" applyFill="1" applyBorder="1" applyAlignment="1">
      <alignment horizontal="center"/>
      <protection/>
    </xf>
    <xf numFmtId="170" fontId="9" fillId="0" borderId="0" xfId="89" applyNumberFormat="1" applyFont="1" applyBorder="1" applyAlignment="1">
      <alignment/>
    </xf>
    <xf numFmtId="4" fontId="9" fillId="0" borderId="0" xfId="59" applyFont="1" applyBorder="1">
      <alignment/>
      <protection/>
    </xf>
    <xf numFmtId="4" fontId="9" fillId="0" borderId="0" xfId="59" applyFont="1" applyFill="1" applyBorder="1">
      <alignment/>
      <protection/>
    </xf>
    <xf numFmtId="4" fontId="9" fillId="0" borderId="10" xfId="59" applyFont="1" applyBorder="1">
      <alignment/>
      <protection/>
    </xf>
    <xf numFmtId="4" fontId="3" fillId="0" borderId="10" xfId="59" applyNumberFormat="1" applyFont="1" applyBorder="1">
      <alignment/>
      <protection/>
    </xf>
    <xf numFmtId="4" fontId="3" fillId="0" borderId="0" xfId="59" applyNumberFormat="1" applyFont="1" applyBorder="1">
      <alignment/>
      <protection/>
    </xf>
    <xf numFmtId="4" fontId="3" fillId="0" borderId="0" xfId="59" applyFont="1" applyBorder="1" applyAlignment="1">
      <alignment horizontal="center"/>
      <protection/>
    </xf>
    <xf numFmtId="4" fontId="9" fillId="0" borderId="0" xfId="59" applyNumberFormat="1" applyFont="1" applyBorder="1">
      <alignment/>
      <protection/>
    </xf>
    <xf numFmtId="4" fontId="9" fillId="0" borderId="27" xfId="59" applyFont="1" applyBorder="1">
      <alignment/>
      <protection/>
    </xf>
    <xf numFmtId="4" fontId="9" fillId="0" borderId="27" xfId="59" applyNumberFormat="1" applyFont="1" applyFill="1" applyBorder="1">
      <alignment/>
      <protection/>
    </xf>
    <xf numFmtId="4" fontId="9" fillId="0" borderId="0" xfId="59" applyNumberFormat="1" applyFont="1" applyFill="1" applyBorder="1">
      <alignment/>
      <protection/>
    </xf>
    <xf numFmtId="4" fontId="3" fillId="0" borderId="27" xfId="59" applyFont="1" applyBorder="1" applyAlignment="1">
      <alignment horizontal="center"/>
      <protection/>
    </xf>
    <xf numFmtId="4" fontId="9" fillId="0" borderId="10" xfId="59" applyNumberFormat="1" applyFont="1" applyFill="1" applyBorder="1">
      <alignment/>
      <protection/>
    </xf>
    <xf numFmtId="10" fontId="9" fillId="0" borderId="10" xfId="81" applyNumberFormat="1" applyFont="1" applyBorder="1" applyAlignment="1">
      <alignment horizontal="center"/>
    </xf>
    <xf numFmtId="170" fontId="9" fillId="0" borderId="10" xfId="89" applyNumberFormat="1" applyFont="1" applyBorder="1" applyAlignment="1">
      <alignment horizontal="center"/>
    </xf>
    <xf numFmtId="4" fontId="9" fillId="0" borderId="10" xfId="59" applyNumberFormat="1" applyFont="1" applyBorder="1" applyAlignment="1">
      <alignment horizontal="center"/>
      <protection/>
    </xf>
    <xf numFmtId="4" fontId="9" fillId="0" borderId="10" xfId="59" applyNumberFormat="1" applyFont="1" applyBorder="1">
      <alignment/>
      <protection/>
    </xf>
    <xf numFmtId="3" fontId="9" fillId="0" borderId="10" xfId="59" applyNumberFormat="1" applyFont="1" applyBorder="1">
      <alignment/>
      <protection/>
    </xf>
    <xf numFmtId="170" fontId="9" fillId="0" borderId="10" xfId="89" applyNumberFormat="1" applyFont="1" applyBorder="1" applyAlignment="1">
      <alignment vertical="center" wrapText="1"/>
    </xf>
    <xf numFmtId="3" fontId="9" fillId="0" borderId="10" xfId="59" applyNumberFormat="1" applyFont="1" applyBorder="1" applyAlignment="1">
      <alignment horizontal="center"/>
      <protection/>
    </xf>
    <xf numFmtId="4" fontId="3" fillId="0" borderId="10" xfId="59" applyNumberFormat="1" applyFont="1" applyBorder="1" applyAlignment="1">
      <alignment horizontal="left"/>
      <protection/>
    </xf>
    <xf numFmtId="170" fontId="3" fillId="0" borderId="10" xfId="89" applyNumberFormat="1" applyFont="1" applyBorder="1" applyAlignment="1">
      <alignment vertical="center" wrapText="1"/>
    </xf>
    <xf numFmtId="4" fontId="9" fillId="38" borderId="10" xfId="59" applyNumberFormat="1" applyFont="1" applyFill="1" applyBorder="1">
      <alignment/>
      <protection/>
    </xf>
    <xf numFmtId="4" fontId="9" fillId="38" borderId="0" xfId="59" applyNumberFormat="1" applyFont="1" applyFill="1" applyBorder="1">
      <alignment/>
      <protection/>
    </xf>
    <xf numFmtId="4" fontId="3" fillId="0" borderId="28" xfId="59" applyFont="1" applyBorder="1" applyAlignment="1">
      <alignment vertical="center" wrapText="1"/>
      <protection/>
    </xf>
    <xf numFmtId="4" fontId="9" fillId="0" borderId="0" xfId="59" applyFont="1" applyAlignment="1">
      <alignment vertical="center" wrapText="1"/>
      <protection/>
    </xf>
    <xf numFmtId="4" fontId="7" fillId="40" borderId="29" xfId="59" applyFont="1" applyFill="1" applyBorder="1" applyAlignment="1">
      <alignment horizontal="center" vertical="center"/>
      <protection/>
    </xf>
    <xf numFmtId="4" fontId="7" fillId="40" borderId="30" xfId="59" applyFont="1" applyFill="1" applyBorder="1" applyAlignment="1">
      <alignment horizontal="center" vertical="center"/>
      <protection/>
    </xf>
    <xf numFmtId="170" fontId="7" fillId="40" borderId="30" xfId="89" applyNumberFormat="1" applyFont="1" applyFill="1" applyBorder="1" applyAlignment="1">
      <alignment horizontal="center" vertical="center"/>
    </xf>
    <xf numFmtId="4" fontId="0" fillId="0" borderId="27" xfId="59" applyFont="1" applyBorder="1" applyAlignment="1">
      <alignment vertical="center"/>
      <protection/>
    </xf>
    <xf numFmtId="4" fontId="9" fillId="0" borderId="27" xfId="59" applyFont="1" applyBorder="1" applyAlignment="1">
      <alignment horizontal="center" vertical="center"/>
      <protection/>
    </xf>
    <xf numFmtId="3" fontId="9" fillId="0" borderId="27" xfId="59" applyNumberFormat="1" applyFont="1" applyFill="1" applyBorder="1" applyAlignment="1">
      <alignment horizontal="center" vertical="center"/>
      <protection/>
    </xf>
    <xf numFmtId="170" fontId="9" fillId="37" borderId="27" xfId="89" applyNumberFormat="1" applyFont="1" applyFill="1" applyBorder="1" applyAlignment="1">
      <alignment horizontal="center" vertical="center"/>
    </xf>
    <xf numFmtId="170" fontId="9" fillId="0" borderId="27" xfId="89" applyNumberFormat="1" applyFont="1" applyBorder="1" applyAlignment="1">
      <alignment horizontal="center" vertical="center"/>
    </xf>
    <xf numFmtId="4" fontId="0" fillId="0" borderId="10" xfId="59" applyFont="1" applyBorder="1" applyAlignment="1">
      <alignment vertical="center"/>
      <protection/>
    </xf>
    <xf numFmtId="4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170" fontId="9" fillId="0" borderId="10" xfId="89" applyNumberFormat="1" applyFont="1" applyFill="1" applyBorder="1" applyAlignment="1">
      <alignment horizontal="center" vertical="center"/>
    </xf>
    <xf numFmtId="170" fontId="9" fillId="0" borderId="10" xfId="89" applyNumberFormat="1" applyFont="1" applyBorder="1" applyAlignment="1">
      <alignment horizontal="center" vertical="center"/>
    </xf>
    <xf numFmtId="4" fontId="3" fillId="0" borderId="10" xfId="59" applyFont="1" applyFill="1" applyBorder="1">
      <alignment/>
      <protection/>
    </xf>
    <xf numFmtId="2" fontId="3" fillId="0" borderId="10" xfId="59" applyNumberFormat="1" applyFont="1" applyFill="1" applyBorder="1">
      <alignment/>
      <protection/>
    </xf>
    <xf numFmtId="2" fontId="3" fillId="0" borderId="0" xfId="59" applyNumberFormat="1" applyFont="1" applyFill="1" applyBorder="1">
      <alignment/>
      <protection/>
    </xf>
    <xf numFmtId="3" fontId="9" fillId="37" borderId="10" xfId="59" applyNumberFormat="1" applyFont="1" applyFill="1" applyBorder="1" applyAlignment="1">
      <alignment horizontal="center" vertical="center"/>
      <protection/>
    </xf>
    <xf numFmtId="170" fontId="9" fillId="41" borderId="10" xfId="89" applyNumberFormat="1" applyFont="1" applyFill="1" applyBorder="1" applyAlignment="1">
      <alignment horizontal="center" vertical="center"/>
    </xf>
    <xf numFmtId="4" fontId="2" fillId="0" borderId="31" xfId="59" applyFont="1" applyBorder="1" applyAlignment="1">
      <alignment vertical="center"/>
      <protection/>
    </xf>
    <xf numFmtId="4" fontId="3" fillId="0" borderId="31" xfId="59" applyFont="1" applyBorder="1" applyAlignment="1">
      <alignment horizontal="center" vertical="center"/>
      <protection/>
    </xf>
    <xf numFmtId="3" fontId="3" fillId="0" borderId="31" xfId="59" applyNumberFormat="1" applyFont="1" applyBorder="1" applyAlignment="1">
      <alignment horizontal="center" vertical="center"/>
      <protection/>
    </xf>
    <xf numFmtId="170" fontId="3" fillId="0" borderId="31" xfId="89" applyNumberFormat="1" applyFont="1" applyBorder="1" applyAlignment="1">
      <alignment horizontal="center" vertical="center"/>
    </xf>
    <xf numFmtId="4" fontId="3" fillId="0" borderId="10" xfId="59" applyNumberFormat="1" applyFont="1" applyFill="1" applyBorder="1">
      <alignment/>
      <protection/>
    </xf>
    <xf numFmtId="0" fontId="0" fillId="0" borderId="0" xfId="59" applyNumberFormat="1" applyFont="1" applyAlignment="1">
      <alignment vertical="center"/>
      <protection/>
    </xf>
    <xf numFmtId="170" fontId="0" fillId="0" borderId="0" xfId="89" applyNumberFormat="1" applyFont="1" applyAlignment="1">
      <alignment vertical="center"/>
    </xf>
    <xf numFmtId="0" fontId="3" fillId="40" borderId="32" xfId="59" applyNumberFormat="1" applyFont="1" applyFill="1" applyBorder="1" applyAlignment="1">
      <alignment horizontal="center" vertical="center"/>
      <protection/>
    </xf>
    <xf numFmtId="0" fontId="3" fillId="40" borderId="30" xfId="59" applyNumberFormat="1" applyFont="1" applyFill="1" applyBorder="1" applyAlignment="1">
      <alignment horizontal="center" vertical="center"/>
      <protection/>
    </xf>
    <xf numFmtId="170" fontId="3" fillId="40" borderId="30" xfId="89" applyNumberFormat="1" applyFont="1" applyFill="1" applyBorder="1" applyAlignment="1">
      <alignment horizontal="center" vertical="center"/>
    </xf>
    <xf numFmtId="170" fontId="3" fillId="40" borderId="33" xfId="89" applyNumberFormat="1" applyFont="1" applyFill="1" applyBorder="1" applyAlignment="1">
      <alignment horizontal="center" vertical="center"/>
    </xf>
    <xf numFmtId="10" fontId="0" fillId="0" borderId="0" xfId="81" applyNumberFormat="1" applyFont="1" applyAlignment="1">
      <alignment/>
    </xf>
    <xf numFmtId="0" fontId="3" fillId="0" borderId="27" xfId="59" applyNumberFormat="1" applyFont="1" applyBorder="1" applyAlignment="1">
      <alignment vertical="center"/>
      <protection/>
    </xf>
    <xf numFmtId="0" fontId="0" fillId="0" borderId="27" xfId="59" applyNumberFormat="1" applyFont="1" applyBorder="1" applyAlignment="1">
      <alignment horizontal="center" vertical="center"/>
      <protection/>
    </xf>
    <xf numFmtId="10" fontId="9" fillId="41" borderId="10" xfId="81" applyNumberFormat="1" applyFont="1" applyFill="1" applyBorder="1" applyAlignment="1">
      <alignment horizontal="center" vertical="center"/>
    </xf>
    <xf numFmtId="170" fontId="9" fillId="0" borderId="0" xfId="89" applyNumberFormat="1" applyFont="1" applyAlignment="1">
      <alignment vertical="center"/>
    </xf>
    <xf numFmtId="0" fontId="9" fillId="0" borderId="10" xfId="59" applyNumberFormat="1" applyFont="1" applyBorder="1" applyAlignment="1">
      <alignment vertical="center"/>
      <protection/>
    </xf>
    <xf numFmtId="0" fontId="0" fillId="0" borderId="10" xfId="59" applyNumberFormat="1" applyFont="1" applyBorder="1" applyAlignment="1">
      <alignment vertical="center"/>
      <protection/>
    </xf>
    <xf numFmtId="10" fontId="9" fillId="0" borderId="10" xfId="81" applyNumberFormat="1" applyFont="1" applyBorder="1" applyAlignment="1">
      <alignment vertical="center"/>
    </xf>
    <xf numFmtId="170" fontId="9" fillId="0" borderId="10" xfId="89" applyNumberFormat="1" applyFont="1" applyBorder="1" applyAlignment="1">
      <alignment vertical="center"/>
    </xf>
    <xf numFmtId="44" fontId="3" fillId="40" borderId="25" xfId="48" applyFont="1" applyFill="1" applyBorder="1" applyAlignment="1">
      <alignment horizontal="center" vertical="center"/>
    </xf>
    <xf numFmtId="0" fontId="9" fillId="0" borderId="0" xfId="59" applyNumberFormat="1" applyFont="1" applyAlignment="1">
      <alignment vertical="center"/>
      <protection/>
    </xf>
    <xf numFmtId="0" fontId="3" fillId="0" borderId="23" xfId="59" applyNumberFormat="1" applyFont="1" applyBorder="1" applyAlignment="1">
      <alignment vertical="center"/>
      <protection/>
    </xf>
    <xf numFmtId="0" fontId="0" fillId="0" borderId="24" xfId="59" applyNumberFormat="1" applyFont="1" applyBorder="1" applyAlignment="1">
      <alignment vertical="center"/>
      <protection/>
    </xf>
    <xf numFmtId="0" fontId="9" fillId="0" borderId="24" xfId="59" applyNumberFormat="1" applyFont="1" applyBorder="1" applyAlignment="1">
      <alignment vertical="center"/>
      <protection/>
    </xf>
    <xf numFmtId="170" fontId="9" fillId="0" borderId="24" xfId="89" applyNumberFormat="1" applyFont="1" applyBorder="1" applyAlignment="1">
      <alignment vertical="center"/>
    </xf>
    <xf numFmtId="170" fontId="9" fillId="0" borderId="25" xfId="89" applyNumberFormat="1" applyFont="1" applyBorder="1" applyAlignment="1">
      <alignment vertical="center"/>
    </xf>
    <xf numFmtId="44" fontId="3" fillId="40" borderId="28" xfId="48" applyFont="1" applyFill="1" applyBorder="1" applyAlignment="1">
      <alignment horizontal="center" vertical="center"/>
    </xf>
    <xf numFmtId="170" fontId="0" fillId="0" borderId="24" xfId="89" applyNumberFormat="1" applyFont="1" applyBorder="1" applyAlignment="1">
      <alignment vertical="center"/>
    </xf>
    <xf numFmtId="170" fontId="0" fillId="0" borderId="25" xfId="89" applyNumberFormat="1" applyFont="1" applyBorder="1" applyAlignment="1">
      <alignment vertical="center"/>
    </xf>
    <xf numFmtId="44" fontId="3" fillId="40" borderId="28" xfId="48" applyFont="1" applyFill="1" applyBorder="1" applyAlignment="1">
      <alignment vertical="center"/>
    </xf>
    <xf numFmtId="4" fontId="3" fillId="0" borderId="32" xfId="59" applyFont="1" applyFill="1" applyBorder="1">
      <alignment/>
      <protection/>
    </xf>
    <xf numFmtId="4" fontId="3" fillId="0" borderId="33" xfId="59" applyNumberFormat="1" applyFont="1" applyFill="1" applyBorder="1">
      <alignment/>
      <protection/>
    </xf>
    <xf numFmtId="170" fontId="8" fillId="0" borderId="34" xfId="89" applyNumberFormat="1" applyFont="1" applyBorder="1" applyAlignment="1">
      <alignment horizontal="center" vertical="center"/>
    </xf>
    <xf numFmtId="170" fontId="11" fillId="0" borderId="35" xfId="89" applyNumberFormat="1" applyFont="1" applyBorder="1" applyAlignment="1">
      <alignment vertical="center"/>
    </xf>
    <xf numFmtId="170" fontId="8" fillId="0" borderId="36" xfId="89" applyNumberFormat="1" applyFont="1" applyBorder="1" applyAlignment="1">
      <alignment vertical="center"/>
    </xf>
    <xf numFmtId="170" fontId="3" fillId="0" borderId="36" xfId="89" applyNumberFormat="1" applyFont="1" applyBorder="1" applyAlignment="1">
      <alignment vertical="center"/>
    </xf>
    <xf numFmtId="170" fontId="8" fillId="0" borderId="14" xfId="89" applyNumberFormat="1" applyFont="1" applyBorder="1" applyAlignment="1">
      <alignment horizontal="center" vertical="center"/>
    </xf>
    <xf numFmtId="170" fontId="8" fillId="0" borderId="16" xfId="89" applyNumberFormat="1" applyFont="1" applyBorder="1" applyAlignment="1">
      <alignment vertical="center"/>
    </xf>
    <xf numFmtId="170" fontId="8" fillId="0" borderId="0" xfId="59" applyNumberFormat="1" applyFont="1" applyBorder="1" applyAlignment="1">
      <alignment vertical="center"/>
      <protection/>
    </xf>
    <xf numFmtId="170" fontId="8" fillId="0" borderId="0" xfId="89" applyNumberFormat="1" applyFont="1" applyBorder="1" applyAlignment="1">
      <alignment vertical="center"/>
    </xf>
    <xf numFmtId="170" fontId="8" fillId="0" borderId="37" xfId="89" applyNumberFormat="1" applyFont="1" applyBorder="1" applyAlignment="1">
      <alignment vertical="center"/>
    </xf>
    <xf numFmtId="10" fontId="8" fillId="0" borderId="14" xfId="81" applyNumberFormat="1" applyFont="1" applyBorder="1" applyAlignment="1">
      <alignment vertical="center"/>
    </xf>
    <xf numFmtId="170" fontId="11" fillId="0" borderId="34" xfId="89" applyNumberFormat="1" applyFont="1" applyBorder="1" applyAlignment="1">
      <alignment vertical="center"/>
    </xf>
    <xf numFmtId="170" fontId="11" fillId="0" borderId="35" xfId="59" applyNumberFormat="1" applyFont="1" applyBorder="1" applyAlignment="1">
      <alignment vertical="center"/>
      <protection/>
    </xf>
    <xf numFmtId="170" fontId="11" fillId="0" borderId="36" xfId="89" applyNumberFormat="1" applyFont="1" applyBorder="1" applyAlignment="1">
      <alignment vertical="center"/>
    </xf>
    <xf numFmtId="10" fontId="11" fillId="0" borderId="14" xfId="81" applyNumberFormat="1" applyFont="1" applyBorder="1" applyAlignment="1">
      <alignment vertical="center"/>
    </xf>
    <xf numFmtId="170" fontId="11" fillId="0" borderId="38" xfId="89" applyNumberFormat="1" applyFont="1" applyBorder="1" applyAlignment="1">
      <alignment vertical="center"/>
    </xf>
    <xf numFmtId="170" fontId="11" fillId="0" borderId="39" xfId="59" applyNumberFormat="1" applyFont="1" applyBorder="1" applyAlignment="1">
      <alignment vertical="center"/>
      <protection/>
    </xf>
    <xf numFmtId="170" fontId="11" fillId="0" borderId="39" xfId="89" applyNumberFormat="1" applyFont="1" applyBorder="1" applyAlignment="1">
      <alignment vertical="center"/>
    </xf>
    <xf numFmtId="170" fontId="11" fillId="0" borderId="40" xfId="89" applyNumberFormat="1" applyFont="1" applyBorder="1" applyAlignment="1">
      <alignment vertical="center"/>
    </xf>
    <xf numFmtId="170" fontId="11" fillId="0" borderId="10" xfId="89" applyNumberFormat="1" applyFont="1" applyBorder="1" applyAlignment="1">
      <alignment vertical="center"/>
    </xf>
    <xf numFmtId="170" fontId="8" fillId="0" borderId="38" xfId="89" applyNumberFormat="1" applyFont="1" applyBorder="1" applyAlignment="1">
      <alignment vertical="center"/>
    </xf>
    <xf numFmtId="170" fontId="8" fillId="0" borderId="34" xfId="89" applyNumberFormat="1" applyFont="1" applyBorder="1" applyAlignment="1">
      <alignment vertical="center"/>
    </xf>
    <xf numFmtId="170" fontId="8" fillId="0" borderId="35" xfId="89" applyNumberFormat="1" applyFont="1" applyBorder="1" applyAlignment="1">
      <alignment vertical="center"/>
    </xf>
    <xf numFmtId="170" fontId="8" fillId="0" borderId="40" xfId="89" applyNumberFormat="1" applyFont="1" applyBorder="1" applyAlignment="1">
      <alignment vertical="center"/>
    </xf>
    <xf numFmtId="170" fontId="8" fillId="0" borderId="34" xfId="89" applyNumberFormat="1" applyFont="1" applyBorder="1" applyAlignment="1">
      <alignment horizontal="left" vertical="center"/>
    </xf>
    <xf numFmtId="4" fontId="8" fillId="0" borderId="35" xfId="59" applyNumberFormat="1" applyFont="1" applyBorder="1" applyAlignment="1">
      <alignment horizontal="centerContinuous" vertical="center"/>
      <protection/>
    </xf>
    <xf numFmtId="170" fontId="8" fillId="0" borderId="20" xfId="89" applyNumberFormat="1" applyFont="1" applyBorder="1" applyAlignment="1">
      <alignment horizontal="left" vertical="center"/>
    </xf>
    <xf numFmtId="4" fontId="8" fillId="0" borderId="21" xfId="59" applyNumberFormat="1" applyFont="1" applyBorder="1" applyAlignment="1">
      <alignment horizontal="centerContinuous" vertical="center"/>
      <protection/>
    </xf>
    <xf numFmtId="170" fontId="8" fillId="0" borderId="21" xfId="89" applyNumberFormat="1" applyFont="1" applyBorder="1" applyAlignment="1">
      <alignment vertical="center"/>
    </xf>
    <xf numFmtId="170" fontId="8" fillId="0" borderId="41" xfId="89" applyNumberFormat="1" applyFont="1" applyBorder="1" applyAlignment="1">
      <alignment vertical="center"/>
    </xf>
    <xf numFmtId="172" fontId="8" fillId="0" borderId="41" xfId="59" applyNumberFormat="1" applyFont="1" applyBorder="1" applyAlignment="1">
      <alignment vertical="center"/>
      <protection/>
    </xf>
    <xf numFmtId="10" fontId="8" fillId="0" borderId="42" xfId="81" applyNumberFormat="1" applyFont="1" applyBorder="1" applyAlignment="1">
      <alignment vertical="center"/>
    </xf>
    <xf numFmtId="170" fontId="8" fillId="0" borderId="32" xfId="89" applyNumberFormat="1" applyFont="1" applyBorder="1" applyAlignment="1">
      <alignment horizontal="left" vertical="center"/>
    </xf>
    <xf numFmtId="4" fontId="8" fillId="0" borderId="30" xfId="59" applyNumberFormat="1" applyFont="1" applyBorder="1" applyAlignment="1">
      <alignment horizontal="centerContinuous" vertical="center"/>
      <protection/>
    </xf>
    <xf numFmtId="170" fontId="8" fillId="0" borderId="30" xfId="89" applyNumberFormat="1" applyFont="1" applyBorder="1" applyAlignment="1">
      <alignment vertical="center"/>
    </xf>
    <xf numFmtId="10" fontId="8" fillId="0" borderId="33" xfId="81" applyNumberFormat="1" applyFont="1" applyBorder="1" applyAlignment="1">
      <alignment vertical="center"/>
    </xf>
    <xf numFmtId="4" fontId="11" fillId="0" borderId="43" xfId="59" applyFont="1" applyBorder="1">
      <alignment/>
      <protection/>
    </xf>
    <xf numFmtId="4" fontId="11" fillId="0" borderId="44" xfId="59" applyFont="1" applyBorder="1">
      <alignment/>
      <protection/>
    </xf>
    <xf numFmtId="4" fontId="11" fillId="0" borderId="45" xfId="59" applyFont="1" applyBorder="1">
      <alignment/>
      <protection/>
    </xf>
    <xf numFmtId="4" fontId="8" fillId="0" borderId="11" xfId="59" applyFont="1" applyBorder="1">
      <alignment/>
      <protection/>
    </xf>
    <xf numFmtId="4" fontId="11" fillId="0" borderId="10" xfId="59" applyFont="1" applyBorder="1">
      <alignment/>
      <protection/>
    </xf>
    <xf numFmtId="4" fontId="8" fillId="0" borderId="14" xfId="59" applyFont="1" applyBorder="1">
      <alignment/>
      <protection/>
    </xf>
    <xf numFmtId="3" fontId="8" fillId="0" borderId="14" xfId="59" applyNumberFormat="1" applyFont="1" applyBorder="1">
      <alignment/>
      <protection/>
    </xf>
    <xf numFmtId="4" fontId="8" fillId="0" borderId="12" xfId="59" applyFont="1" applyBorder="1">
      <alignment/>
      <protection/>
    </xf>
    <xf numFmtId="4" fontId="8" fillId="0" borderId="13" xfId="59" applyFont="1" applyBorder="1">
      <alignment/>
      <protection/>
    </xf>
    <xf numFmtId="4" fontId="8" fillId="0" borderId="15" xfId="59" applyFont="1" applyBorder="1">
      <alignment/>
      <protection/>
    </xf>
    <xf numFmtId="4" fontId="11" fillId="0" borderId="0" xfId="59" applyFont="1" applyAlignment="1">
      <alignment horizontal="left"/>
      <protection/>
    </xf>
    <xf numFmtId="4" fontId="3" fillId="0" borderId="0" xfId="59" applyFont="1" applyAlignment="1">
      <alignment horizontal="left"/>
      <protection/>
    </xf>
    <xf numFmtId="4" fontId="3" fillId="37" borderId="0" xfId="59" applyFont="1" applyFill="1">
      <alignment/>
      <protection/>
    </xf>
    <xf numFmtId="4" fontId="3" fillId="0" borderId="0" xfId="59" applyFont="1">
      <alignment/>
      <protection/>
    </xf>
    <xf numFmtId="4" fontId="2" fillId="0" borderId="0" xfId="59" applyFont="1">
      <alignment/>
      <protection/>
    </xf>
    <xf numFmtId="178" fontId="5" fillId="37" borderId="0" xfId="52" applyNumberFormat="1" applyFont="1" applyFill="1" applyAlignment="1">
      <alignment/>
    </xf>
    <xf numFmtId="178" fontId="4" fillId="0" borderId="0" xfId="52" applyNumberFormat="1" applyFont="1" applyFill="1" applyAlignment="1">
      <alignment/>
    </xf>
    <xf numFmtId="4" fontId="8" fillId="0" borderId="0" xfId="59" applyFont="1" applyAlignment="1">
      <alignment horizontal="left"/>
      <protection/>
    </xf>
    <xf numFmtId="4" fontId="11" fillId="0" borderId="0" xfId="59" applyFont="1">
      <alignment/>
      <protection/>
    </xf>
    <xf numFmtId="179" fontId="11" fillId="0" borderId="0" xfId="59" applyNumberFormat="1" applyFont="1">
      <alignment/>
      <protection/>
    </xf>
    <xf numFmtId="4" fontId="14" fillId="0" borderId="0" xfId="59" applyFont="1">
      <alignment/>
      <protection/>
    </xf>
    <xf numFmtId="0" fontId="3" fillId="0" borderId="10" xfId="59" applyNumberFormat="1" applyFont="1" applyFill="1" applyBorder="1" applyAlignment="1">
      <alignment horizontal="center"/>
      <protection/>
    </xf>
    <xf numFmtId="170" fontId="3" fillId="0" borderId="10" xfId="90" applyNumberFormat="1" applyFont="1" applyFill="1" applyBorder="1" applyAlignment="1">
      <alignment horizontal="center"/>
    </xf>
    <xf numFmtId="10" fontId="3" fillId="0" borderId="10" xfId="79" applyNumberFormat="1" applyFont="1" applyFill="1" applyBorder="1" applyAlignment="1">
      <alignment horizontal="center"/>
    </xf>
    <xf numFmtId="0" fontId="3" fillId="0" borderId="46" xfId="59" applyNumberFormat="1" applyFont="1" applyFill="1" applyBorder="1" applyAlignment="1">
      <alignment horizontal="center"/>
      <protection/>
    </xf>
    <xf numFmtId="0" fontId="3" fillId="0" borderId="35" xfId="59" applyNumberFormat="1" applyFont="1" applyFill="1" applyBorder="1" applyAlignment="1">
      <alignment horizontal="center"/>
      <protection/>
    </xf>
    <xf numFmtId="4" fontId="3" fillId="0" borderId="35" xfId="59" applyFont="1" applyFill="1" applyBorder="1" applyAlignment="1">
      <alignment horizontal="right"/>
      <protection/>
    </xf>
    <xf numFmtId="170" fontId="3" fillId="0" borderId="36" xfId="90" applyNumberFormat="1" applyFont="1" applyFill="1" applyBorder="1" applyAlignment="1">
      <alignment/>
    </xf>
    <xf numFmtId="4" fontId="56" fillId="0" borderId="0" xfId="59" applyFont="1" applyFill="1" applyBorder="1" applyAlignment="1">
      <alignment horizontal="left" vertical="center"/>
      <protection/>
    </xf>
    <xf numFmtId="4" fontId="56" fillId="0" borderId="0" xfId="59" applyFont="1" applyBorder="1" applyAlignment="1">
      <alignment horizontal="left" vertical="center"/>
      <protection/>
    </xf>
    <xf numFmtId="4" fontId="3" fillId="0" borderId="46" xfId="59" applyFont="1" applyBorder="1" applyAlignment="1">
      <alignment horizontal="left"/>
      <protection/>
    </xf>
    <xf numFmtId="4" fontId="0" fillId="0" borderId="0" xfId="59" applyFont="1">
      <alignment/>
      <protection/>
    </xf>
    <xf numFmtId="4" fontId="0" fillId="0" borderId="30" xfId="59" applyFont="1" applyBorder="1">
      <alignment/>
      <protection/>
    </xf>
    <xf numFmtId="4" fontId="9" fillId="0" borderId="0" xfId="59" applyFont="1" applyFill="1">
      <alignment/>
      <protection/>
    </xf>
    <xf numFmtId="0" fontId="3" fillId="0" borderId="0" xfId="59" applyNumberFormat="1" applyFont="1" applyFill="1" applyBorder="1" applyAlignment="1">
      <alignment horizontal="center" vertical="center"/>
      <protection/>
    </xf>
    <xf numFmtId="10" fontId="9" fillId="0" borderId="0" xfId="77" applyNumberFormat="1" applyFont="1" applyAlignment="1">
      <alignment/>
    </xf>
    <xf numFmtId="4" fontId="3" fillId="37" borderId="10" xfId="59" applyNumberFormat="1" applyFont="1" applyFill="1" applyBorder="1">
      <alignment/>
      <protection/>
    </xf>
    <xf numFmtId="170" fontId="3" fillId="37" borderId="10" xfId="89" applyNumberFormat="1" applyFont="1" applyFill="1" applyBorder="1" applyAlignment="1">
      <alignment horizontal="center"/>
    </xf>
    <xf numFmtId="0" fontId="38" fillId="0" borderId="0" xfId="62">
      <alignment/>
      <protection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170" fontId="0" fillId="37" borderId="27" xfId="110" applyFont="1" applyFill="1" applyBorder="1" applyAlignment="1">
      <alignment horizontal="center" vertical="center"/>
    </xf>
    <xf numFmtId="170" fontId="0" fillId="0" borderId="27" xfId="110" applyFont="1" applyBorder="1" applyAlignment="1">
      <alignment horizontal="center" vertical="center"/>
    </xf>
    <xf numFmtId="170" fontId="0" fillId="0" borderId="27" xfId="11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170" fontId="0" fillId="0" borderId="10" xfId="110" applyFont="1" applyBorder="1" applyAlignment="1">
      <alignment horizontal="center" vertical="center"/>
    </xf>
    <xf numFmtId="171" fontId="0" fillId="0" borderId="10" xfId="110" applyNumberFormat="1" applyFont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170" fontId="7" fillId="40" borderId="47" xfId="110" applyFont="1" applyFill="1" applyBorder="1" applyAlignment="1">
      <alignment horizontal="center" vertical="center"/>
    </xf>
    <xf numFmtId="4" fontId="3" fillId="0" borderId="46" xfId="59" applyFont="1" applyBorder="1" applyAlignment="1">
      <alignment horizontal="center"/>
      <protection/>
    </xf>
    <xf numFmtId="0" fontId="0" fillId="0" borderId="35" xfId="0" applyFont="1" applyBorder="1" applyAlignment="1">
      <alignment vertical="center"/>
    </xf>
    <xf numFmtId="170" fontId="0" fillId="0" borderId="35" xfId="110" applyFont="1" applyBorder="1" applyAlignment="1">
      <alignment vertical="center"/>
    </xf>
    <xf numFmtId="170" fontId="0" fillId="0" borderId="36" xfId="11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70" fontId="2" fillId="0" borderId="10" xfId="110" applyFont="1" applyBorder="1" applyAlignment="1">
      <alignment horizontal="center" vertical="center"/>
    </xf>
    <xf numFmtId="170" fontId="9" fillId="0" borderId="10" xfId="110" applyFont="1" applyBorder="1" applyAlignment="1">
      <alignment/>
    </xf>
    <xf numFmtId="171" fontId="0" fillId="0" borderId="27" xfId="11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4" fillId="0" borderId="4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10" fontId="4" fillId="37" borderId="49" xfId="0" applyNumberFormat="1" applyFont="1" applyFill="1" applyBorder="1" applyAlignment="1">
      <alignment horizontal="center" vertical="center"/>
    </xf>
    <xf numFmtId="10" fontId="4" fillId="0" borderId="48" xfId="77" applyNumberFormat="1" applyFont="1" applyBorder="1" applyAlignment="1">
      <alignment horizontal="right"/>
    </xf>
    <xf numFmtId="10" fontId="4" fillId="0" borderId="27" xfId="77" applyNumberFormat="1" applyFont="1" applyBorder="1" applyAlignment="1">
      <alignment horizontal="right"/>
    </xf>
    <xf numFmtId="10" fontId="4" fillId="0" borderId="49" xfId="77" applyNumberFormat="1" applyFont="1" applyBorder="1" applyAlignment="1">
      <alignment horizontal="right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8" fillId="0" borderId="0" xfId="67">
      <alignment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110" applyNumberFormat="1" applyFont="1" applyBorder="1" applyAlignment="1">
      <alignment horizontal="right"/>
    </xf>
    <xf numFmtId="4" fontId="0" fillId="0" borderId="0" xfId="110" applyNumberFormat="1" applyFont="1" applyBorder="1" applyAlignment="1">
      <alignment horizontal="right"/>
    </xf>
    <xf numFmtId="2" fontId="38" fillId="0" borderId="11" xfId="60" applyNumberFormat="1" applyBorder="1" applyAlignment="1">
      <alignment horizontal="center"/>
      <protection/>
    </xf>
    <xf numFmtId="0" fontId="38" fillId="0" borderId="10" xfId="60" applyBorder="1" applyAlignment="1">
      <alignment horizontal="center" vertical="center"/>
      <protection/>
    </xf>
    <xf numFmtId="2" fontId="38" fillId="0" borderId="10" xfId="60" applyNumberFormat="1" applyBorder="1">
      <alignment/>
      <protection/>
    </xf>
    <xf numFmtId="2" fontId="55" fillId="0" borderId="44" xfId="60" applyNumberFormat="1" applyFont="1" applyBorder="1">
      <alignment/>
      <protection/>
    </xf>
    <xf numFmtId="2" fontId="55" fillId="0" borderId="10" xfId="60" applyNumberFormat="1" applyFont="1" applyBorder="1">
      <alignment/>
      <protection/>
    </xf>
    <xf numFmtId="4" fontId="0" fillId="0" borderId="52" xfId="110" applyNumberFormat="1" applyFont="1" applyBorder="1" applyAlignment="1">
      <alignment horizontal="right"/>
    </xf>
    <xf numFmtId="4" fontId="55" fillId="0" borderId="13" xfId="60" applyNumberFormat="1" applyFont="1" applyBorder="1">
      <alignment/>
      <protection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55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55" fillId="0" borderId="13" xfId="11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4" fontId="55" fillId="0" borderId="0" xfId="11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54" xfId="0" applyBorder="1" applyAlignment="1">
      <alignment horizontal="left"/>
    </xf>
    <xf numFmtId="4" fontId="55" fillId="0" borderId="30" xfId="110" applyNumberFormat="1" applyFont="1" applyBorder="1" applyAlignment="1">
      <alignment horizontal="right"/>
    </xf>
    <xf numFmtId="0" fontId="55" fillId="0" borderId="3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4" fontId="38" fillId="0" borderId="10" xfId="67" applyNumberFormat="1" applyBorder="1" applyAlignment="1">
      <alignment horizontal="right"/>
      <protection/>
    </xf>
    <xf numFmtId="4" fontId="55" fillId="0" borderId="47" xfId="110" applyNumberFormat="1" applyFont="1" applyBorder="1" applyAlignment="1">
      <alignment horizontal="right"/>
    </xf>
    <xf numFmtId="0" fontId="55" fillId="0" borderId="4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0" fontId="55" fillId="0" borderId="15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55" fillId="0" borderId="13" xfId="110" applyNumberFormat="1" applyFont="1" applyBorder="1" applyAlignment="1">
      <alignment horizontal="right"/>
    </xf>
    <xf numFmtId="1" fontId="38" fillId="0" borderId="10" xfId="60" applyNumberFormat="1" applyBorder="1" applyAlignment="1">
      <alignment horizontal="right" vertical="center"/>
      <protection/>
    </xf>
    <xf numFmtId="184" fontId="38" fillId="0" borderId="10" xfId="60" applyNumberFormat="1" applyBorder="1" applyAlignment="1">
      <alignment horizontal="left" vertical="center"/>
      <protection/>
    </xf>
    <xf numFmtId="2" fontId="38" fillId="0" borderId="14" xfId="60" applyNumberFormat="1" applyBorder="1" applyAlignment="1">
      <alignment horizontal="left"/>
      <protection/>
    </xf>
    <xf numFmtId="2" fontId="55" fillId="0" borderId="45" xfId="60" applyNumberFormat="1" applyFont="1" applyBorder="1" applyAlignment="1">
      <alignment horizontal="left"/>
      <protection/>
    </xf>
    <xf numFmtId="2" fontId="55" fillId="0" borderId="14" xfId="60" applyNumberFormat="1" applyFont="1" applyBorder="1" applyAlignment="1">
      <alignment horizontal="left"/>
      <protection/>
    </xf>
    <xf numFmtId="2" fontId="55" fillId="0" borderId="15" xfId="60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4" fontId="38" fillId="0" borderId="0" xfId="67" applyNumberFormat="1" applyAlignment="1">
      <alignment horizontal="right"/>
      <protection/>
    </xf>
    <xf numFmtId="0" fontId="0" fillId="0" borderId="0" xfId="0" applyFont="1" applyAlignment="1">
      <alignment horizontal="center"/>
    </xf>
    <xf numFmtId="4" fontId="55" fillId="0" borderId="0" xfId="110" applyNumberFormat="1" applyFont="1" applyBorder="1" applyAlignment="1">
      <alignment/>
    </xf>
    <xf numFmtId="4" fontId="0" fillId="0" borderId="46" xfId="110" applyNumberFormat="1" applyFont="1" applyBorder="1" applyAlignment="1">
      <alignment horizontal="right"/>
    </xf>
    <xf numFmtId="0" fontId="38" fillId="0" borderId="16" xfId="67" applyBorder="1">
      <alignment/>
      <protection/>
    </xf>
    <xf numFmtId="0" fontId="0" fillId="0" borderId="2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4" fontId="38" fillId="0" borderId="47" xfId="67" applyNumberFormat="1" applyBorder="1" applyAlignment="1">
      <alignment horizontal="right"/>
      <protection/>
    </xf>
    <xf numFmtId="0" fontId="0" fillId="0" borderId="42" xfId="0" applyBorder="1" applyAlignment="1">
      <alignment horizontal="left"/>
    </xf>
    <xf numFmtId="4" fontId="55" fillId="0" borderId="21" xfId="11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0" xfId="0" applyFont="1" applyAlignment="1">
      <alignment horizontal="center"/>
    </xf>
    <xf numFmtId="0" fontId="38" fillId="0" borderId="13" xfId="67" applyBorder="1">
      <alignment/>
      <protection/>
    </xf>
    <xf numFmtId="0" fontId="55" fillId="0" borderId="0" xfId="0" applyFont="1" applyAlignment="1">
      <alignment horizontal="left"/>
    </xf>
    <xf numFmtId="0" fontId="55" fillId="0" borderId="0" xfId="60" applyFont="1" applyAlignment="1">
      <alignment horizontal="center" vertical="center" wrapText="1"/>
      <protection/>
    </xf>
    <xf numFmtId="0" fontId="55" fillId="0" borderId="0" xfId="60" applyFont="1" applyAlignment="1">
      <alignment horizontal="center" wrapText="1"/>
      <protection/>
    </xf>
    <xf numFmtId="0" fontId="38" fillId="0" borderId="0" xfId="60" applyAlignment="1">
      <alignment horizontal="center"/>
      <protection/>
    </xf>
    <xf numFmtId="0" fontId="38" fillId="0" borderId="0" xfId="60" applyAlignment="1">
      <alignment horizontal="center" vertical="center" wrapText="1"/>
      <protection/>
    </xf>
    <xf numFmtId="2" fontId="38" fillId="0" borderId="0" xfId="60" applyNumberFormat="1" applyAlignment="1">
      <alignment horizontal="left"/>
      <protection/>
    </xf>
    <xf numFmtId="2" fontId="55" fillId="0" borderId="0" xfId="60" applyNumberFormat="1" applyFont="1" applyAlignment="1">
      <alignment horizontal="left"/>
      <protection/>
    </xf>
    <xf numFmtId="0" fontId="2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" fontId="55" fillId="0" borderId="18" xfId="110" applyNumberFormat="1" applyFont="1" applyBorder="1" applyAlignment="1">
      <alignment/>
    </xf>
    <xf numFmtId="0" fontId="55" fillId="0" borderId="19" xfId="0" applyFont="1" applyBorder="1" applyAlignment="1">
      <alignment/>
    </xf>
    <xf numFmtId="0" fontId="38" fillId="0" borderId="0" xfId="67" applyFill="1">
      <alignment/>
      <protection/>
    </xf>
    <xf numFmtId="0" fontId="55" fillId="0" borderId="0" xfId="0" applyFont="1" applyBorder="1" applyAlignment="1">
      <alignment horizontal="left"/>
    </xf>
    <xf numFmtId="4" fontId="38" fillId="0" borderId="52" xfId="67" applyNumberFormat="1" applyBorder="1" applyAlignment="1">
      <alignment horizontal="right"/>
      <protection/>
    </xf>
    <xf numFmtId="4" fontId="9" fillId="0" borderId="10" xfId="59" applyFont="1" applyBorder="1" applyAlignment="1">
      <alignment horizontal="center"/>
      <protection/>
    </xf>
    <xf numFmtId="4" fontId="3" fillId="37" borderId="10" xfId="59" applyFont="1" applyFill="1" applyBorder="1">
      <alignment/>
      <protection/>
    </xf>
    <xf numFmtId="0" fontId="0" fillId="0" borderId="27" xfId="0" applyBorder="1" applyAlignment="1">
      <alignment horizontal="center"/>
    </xf>
    <xf numFmtId="4" fontId="9" fillId="0" borderId="0" xfId="59" applyFont="1" quotePrefix="1">
      <alignment/>
      <protection/>
    </xf>
    <xf numFmtId="0" fontId="55" fillId="0" borderId="55" xfId="0" applyFont="1" applyBorder="1" applyAlignment="1">
      <alignment horizontal="left" wrapText="1"/>
    </xf>
    <xf numFmtId="0" fontId="55" fillId="0" borderId="55" xfId="0" applyFont="1" applyBorder="1" applyAlignment="1">
      <alignment horizontal="center" wrapText="1"/>
    </xf>
    <xf numFmtId="0" fontId="0" fillId="0" borderId="55" xfId="0" applyBorder="1" applyAlignment="1">
      <alignment horizontal="left" wrapText="1"/>
    </xf>
    <xf numFmtId="0" fontId="0" fillId="0" borderId="55" xfId="0" applyBorder="1" applyAlignment="1">
      <alignment wrapText="1"/>
    </xf>
    <xf numFmtId="0" fontId="0" fillId="0" borderId="55" xfId="0" applyBorder="1" applyAlignment="1">
      <alignment horizontal="center" wrapText="1"/>
    </xf>
    <xf numFmtId="14" fontId="0" fillId="0" borderId="55" xfId="0" applyNumberFormat="1" applyBorder="1" applyAlignment="1">
      <alignment horizontal="center" wrapText="1"/>
    </xf>
    <xf numFmtId="0" fontId="55" fillId="0" borderId="55" xfId="0" applyFont="1" applyBorder="1" applyAlignment="1">
      <alignment wrapText="1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55" fillId="0" borderId="21" xfId="110" applyNumberFormat="1" applyFont="1" applyBorder="1" applyAlignment="1">
      <alignment horizontal="right"/>
    </xf>
    <xf numFmtId="0" fontId="55" fillId="0" borderId="22" xfId="0" applyFont="1" applyBorder="1" applyAlignment="1">
      <alignment horizontal="left"/>
    </xf>
    <xf numFmtId="0" fontId="55" fillId="0" borderId="0" xfId="0" applyFont="1" applyAlignment="1">
      <alignment wrapText="1"/>
    </xf>
    <xf numFmtId="4" fontId="3" fillId="41" borderId="23" xfId="59" applyFont="1" applyFill="1" applyBorder="1" applyAlignment="1">
      <alignment horizontal="center"/>
      <protection/>
    </xf>
    <xf numFmtId="4" fontId="3" fillId="41" borderId="24" xfId="59" applyFont="1" applyFill="1" applyBorder="1" applyAlignment="1">
      <alignment horizontal="center"/>
      <protection/>
    </xf>
    <xf numFmtId="4" fontId="3" fillId="41" borderId="25" xfId="59" applyFont="1" applyFill="1" applyBorder="1" applyAlignment="1">
      <alignment horizontal="center"/>
      <protection/>
    </xf>
    <xf numFmtId="4" fontId="3" fillId="10" borderId="23" xfId="59" applyFont="1" applyFill="1" applyBorder="1" applyAlignment="1">
      <alignment horizontal="center"/>
      <protection/>
    </xf>
    <xf numFmtId="4" fontId="3" fillId="10" borderId="24" xfId="59" applyFont="1" applyFill="1" applyBorder="1" applyAlignment="1">
      <alignment horizontal="center"/>
      <protection/>
    </xf>
    <xf numFmtId="4" fontId="3" fillId="10" borderId="25" xfId="59" applyFont="1" applyFill="1" applyBorder="1" applyAlignment="1">
      <alignment horizontal="center"/>
      <protection/>
    </xf>
    <xf numFmtId="0" fontId="3" fillId="10" borderId="23" xfId="59" applyNumberFormat="1" applyFont="1" applyFill="1" applyBorder="1" applyAlignment="1">
      <alignment horizontal="center" vertical="center"/>
      <protection/>
    </xf>
    <xf numFmtId="0" fontId="3" fillId="10" borderId="24" xfId="59" applyNumberFormat="1" applyFont="1" applyFill="1" applyBorder="1" applyAlignment="1">
      <alignment horizontal="center" vertical="center"/>
      <protection/>
    </xf>
    <xf numFmtId="0" fontId="3" fillId="10" borderId="25" xfId="59" applyNumberFormat="1" applyFont="1" applyFill="1" applyBorder="1" applyAlignment="1">
      <alignment horizontal="center" vertical="center"/>
      <protection/>
    </xf>
    <xf numFmtId="4" fontId="3" fillId="0" borderId="23" xfId="59" applyFont="1" applyFill="1" applyBorder="1" applyAlignment="1">
      <alignment horizontal="center"/>
      <protection/>
    </xf>
    <xf numFmtId="4" fontId="3" fillId="0" borderId="24" xfId="59" applyFont="1" applyFill="1" applyBorder="1" applyAlignment="1">
      <alignment horizontal="center"/>
      <protection/>
    </xf>
    <xf numFmtId="4" fontId="3" fillId="0" borderId="25" xfId="59" applyFont="1" applyFill="1" applyBorder="1" applyAlignment="1">
      <alignment horizontal="center"/>
      <protection/>
    </xf>
    <xf numFmtId="4" fontId="3" fillId="0" borderId="46" xfId="59" applyFont="1" applyBorder="1" applyAlignment="1">
      <alignment horizontal="left"/>
      <protection/>
    </xf>
    <xf numFmtId="4" fontId="3" fillId="0" borderId="35" xfId="59" applyFont="1" applyBorder="1" applyAlignment="1">
      <alignment horizontal="left"/>
      <protection/>
    </xf>
    <xf numFmtId="4" fontId="3" fillId="0" borderId="36" xfId="59" applyFont="1" applyBorder="1" applyAlignment="1">
      <alignment horizontal="left"/>
      <protection/>
    </xf>
    <xf numFmtId="4" fontId="3" fillId="42" borderId="23" xfId="59" applyFont="1" applyFill="1" applyBorder="1" applyAlignment="1">
      <alignment horizontal="center"/>
      <protection/>
    </xf>
    <xf numFmtId="4" fontId="3" fillId="42" borderId="24" xfId="59" applyFont="1" applyFill="1" applyBorder="1" applyAlignment="1">
      <alignment horizontal="center"/>
      <protection/>
    </xf>
    <xf numFmtId="4" fontId="3" fillId="42" borderId="25" xfId="59" applyFont="1" applyFill="1" applyBorder="1" applyAlignment="1">
      <alignment horizontal="center"/>
      <protection/>
    </xf>
    <xf numFmtId="0" fontId="5" fillId="43" borderId="23" xfId="59" applyNumberFormat="1" applyFont="1" applyFill="1" applyBorder="1" applyAlignment="1">
      <alignment horizontal="center" vertical="center"/>
      <protection/>
    </xf>
    <xf numFmtId="0" fontId="5" fillId="43" borderId="24" xfId="59" applyNumberFormat="1" applyFont="1" applyFill="1" applyBorder="1" applyAlignment="1">
      <alignment horizontal="center" vertical="center"/>
      <protection/>
    </xf>
    <xf numFmtId="0" fontId="5" fillId="43" borderId="25" xfId="59" applyNumberFormat="1" applyFont="1" applyFill="1" applyBorder="1" applyAlignment="1">
      <alignment horizontal="center" vertical="center"/>
      <protection/>
    </xf>
    <xf numFmtId="4" fontId="3" fillId="38" borderId="46" xfId="59" applyFont="1" applyFill="1" applyBorder="1" applyAlignment="1">
      <alignment horizontal="center"/>
      <protection/>
    </xf>
    <xf numFmtId="4" fontId="3" fillId="38" borderId="35" xfId="59" applyFont="1" applyFill="1" applyBorder="1" applyAlignment="1">
      <alignment horizontal="center"/>
      <protection/>
    </xf>
    <xf numFmtId="4" fontId="3" fillId="38" borderId="36" xfId="59" applyFont="1" applyFill="1" applyBorder="1" applyAlignment="1">
      <alignment horizontal="center"/>
      <protection/>
    </xf>
    <xf numFmtId="4" fontId="63" fillId="0" borderId="0" xfId="59" applyFont="1" applyAlignment="1">
      <alignment horizontal="left" vertical="top"/>
      <protection/>
    </xf>
    <xf numFmtId="4" fontId="3" fillId="39" borderId="46" xfId="59" applyFont="1" applyFill="1" applyBorder="1" applyAlignment="1">
      <alignment horizontal="left"/>
      <protection/>
    </xf>
    <xf numFmtId="4" fontId="3" fillId="39" borderId="35" xfId="59" applyFont="1" applyFill="1" applyBorder="1" applyAlignment="1">
      <alignment horizontal="left"/>
      <protection/>
    </xf>
    <xf numFmtId="4" fontId="3" fillId="39" borderId="36" xfId="59" applyFont="1" applyFill="1" applyBorder="1" applyAlignment="1">
      <alignment horizontal="left"/>
      <protection/>
    </xf>
    <xf numFmtId="170" fontId="8" fillId="43" borderId="56" xfId="89" applyNumberFormat="1" applyFont="1" applyFill="1" applyBorder="1" applyAlignment="1">
      <alignment horizontal="center" vertical="center"/>
    </xf>
    <xf numFmtId="170" fontId="8" fillId="43" borderId="57" xfId="89" applyNumberFormat="1" applyFont="1" applyFill="1" applyBorder="1" applyAlignment="1">
      <alignment horizontal="center" vertical="center"/>
    </xf>
    <xf numFmtId="170" fontId="8" fillId="43" borderId="44" xfId="89" applyNumberFormat="1" applyFont="1" applyFill="1" applyBorder="1" applyAlignment="1">
      <alignment horizontal="center" vertical="center"/>
    </xf>
    <xf numFmtId="170" fontId="8" fillId="43" borderId="45" xfId="89" applyNumberFormat="1" applyFont="1" applyFill="1" applyBorder="1" applyAlignment="1">
      <alignment horizontal="center" vertical="center"/>
    </xf>
    <xf numFmtId="4" fontId="3" fillId="0" borderId="46" xfId="59" applyFont="1" applyFill="1" applyBorder="1" applyAlignment="1">
      <alignment horizontal="left"/>
      <protection/>
    </xf>
    <xf numFmtId="4" fontId="3" fillId="0" borderId="35" xfId="59" applyFont="1" applyFill="1" applyBorder="1" applyAlignment="1">
      <alignment horizontal="left"/>
      <protection/>
    </xf>
    <xf numFmtId="4" fontId="3" fillId="0" borderId="36" xfId="59" applyFont="1" applyFill="1" applyBorder="1" applyAlignment="1">
      <alignment horizontal="left"/>
      <protection/>
    </xf>
    <xf numFmtId="4" fontId="3" fillId="0" borderId="46" xfId="59" applyFont="1" applyBorder="1" applyAlignment="1">
      <alignment horizontal="center"/>
      <protection/>
    </xf>
    <xf numFmtId="4" fontId="3" fillId="0" borderId="36" xfId="59" applyFont="1" applyBorder="1" applyAlignment="1">
      <alignment horizontal="center"/>
      <protection/>
    </xf>
    <xf numFmtId="0" fontId="9" fillId="38" borderId="46" xfId="59" applyNumberFormat="1" applyFont="1" applyFill="1" applyBorder="1" applyAlignment="1">
      <alignment horizontal="center"/>
      <protection/>
    </xf>
    <xf numFmtId="0" fontId="9" fillId="38" borderId="36" xfId="59" applyNumberFormat="1" applyFont="1" applyFill="1" applyBorder="1" applyAlignment="1">
      <alignment horizontal="center"/>
      <protection/>
    </xf>
    <xf numFmtId="170" fontId="3" fillId="0" borderId="46" xfId="89" applyNumberFormat="1" applyFont="1" applyBorder="1" applyAlignment="1">
      <alignment horizontal="center"/>
    </xf>
    <xf numFmtId="170" fontId="3" fillId="0" borderId="36" xfId="89" applyNumberFormat="1" applyFont="1" applyBorder="1" applyAlignment="1">
      <alignment horizontal="center"/>
    </xf>
    <xf numFmtId="0" fontId="55" fillId="0" borderId="58" xfId="60" applyFont="1" applyBorder="1" applyAlignment="1">
      <alignment horizontal="right" vertical="center" wrapText="1"/>
      <protection/>
    </xf>
    <xf numFmtId="0" fontId="55" fillId="0" borderId="59" xfId="60" applyFont="1" applyBorder="1" applyAlignment="1">
      <alignment horizontal="right" vertical="center" wrapText="1"/>
      <protection/>
    </xf>
    <xf numFmtId="0" fontId="55" fillId="0" borderId="60" xfId="60" applyFont="1" applyBorder="1" applyAlignment="1">
      <alignment horizontal="right" vertical="center" wrapText="1"/>
      <protection/>
    </xf>
    <xf numFmtId="0" fontId="55" fillId="0" borderId="34" xfId="60" applyFont="1" applyBorder="1" applyAlignment="1">
      <alignment horizontal="right" vertical="center" wrapText="1"/>
      <protection/>
    </xf>
    <xf numFmtId="0" fontId="55" fillId="0" borderId="35" xfId="60" applyFont="1" applyBorder="1" applyAlignment="1">
      <alignment horizontal="right" vertical="center" wrapText="1"/>
      <protection/>
    </xf>
    <xf numFmtId="0" fontId="55" fillId="0" borderId="36" xfId="60" applyFont="1" applyBorder="1" applyAlignment="1">
      <alignment horizontal="right" vertical="center" wrapText="1"/>
      <protection/>
    </xf>
    <xf numFmtId="0" fontId="55" fillId="0" borderId="61" xfId="60" applyFont="1" applyBorder="1" applyAlignment="1">
      <alignment horizontal="right" vertical="center" wrapText="1"/>
      <protection/>
    </xf>
    <xf numFmtId="0" fontId="55" fillId="0" borderId="62" xfId="60" applyFont="1" applyBorder="1" applyAlignment="1">
      <alignment horizontal="right" vertical="center" wrapText="1"/>
      <protection/>
    </xf>
    <xf numFmtId="0" fontId="55" fillId="0" borderId="63" xfId="60" applyFont="1" applyBorder="1" applyAlignment="1">
      <alignment horizontal="right" vertical="center" wrapText="1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55" fillId="0" borderId="23" xfId="60" applyFont="1" applyBorder="1" applyAlignment="1">
      <alignment horizontal="center" wrapText="1"/>
      <protection/>
    </xf>
    <xf numFmtId="0" fontId="55" fillId="0" borderId="24" xfId="60" applyFont="1" applyBorder="1" applyAlignment="1">
      <alignment horizontal="center" wrapText="1"/>
      <protection/>
    </xf>
    <xf numFmtId="0" fontId="55" fillId="0" borderId="25" xfId="60" applyFont="1" applyBorder="1" applyAlignment="1">
      <alignment horizontal="center" wrapText="1"/>
      <protection/>
    </xf>
    <xf numFmtId="0" fontId="38" fillId="0" borderId="23" xfId="60" applyBorder="1" applyAlignment="1">
      <alignment horizontal="center"/>
      <protection/>
    </xf>
    <xf numFmtId="0" fontId="38" fillId="0" borderId="24" xfId="60" applyBorder="1" applyAlignment="1">
      <alignment horizontal="center"/>
      <protection/>
    </xf>
    <xf numFmtId="0" fontId="38" fillId="0" borderId="25" xfId="60" applyBorder="1" applyAlignment="1">
      <alignment horizontal="center"/>
      <protection/>
    </xf>
    <xf numFmtId="0" fontId="55" fillId="0" borderId="23" xfId="60" applyFont="1" applyBorder="1" applyAlignment="1">
      <alignment horizontal="center" vertical="center" wrapText="1"/>
      <protection/>
    </xf>
    <xf numFmtId="0" fontId="55" fillId="0" borderId="24" xfId="60" applyFont="1" applyBorder="1" applyAlignment="1">
      <alignment horizontal="center" vertical="center" wrapText="1"/>
      <protection/>
    </xf>
    <xf numFmtId="0" fontId="55" fillId="0" borderId="25" xfId="60" applyFont="1" applyBorder="1" applyAlignment="1">
      <alignment horizontal="center" vertical="center" wrapText="1"/>
      <protection/>
    </xf>
    <xf numFmtId="2" fontId="38" fillId="0" borderId="43" xfId="60" applyNumberFormat="1" applyBorder="1" applyAlignment="1">
      <alignment horizontal="center" vertical="center"/>
      <protection/>
    </xf>
    <xf numFmtId="2" fontId="38" fillId="0" borderId="11" xfId="60" applyNumberFormat="1" applyBorder="1" applyAlignment="1">
      <alignment horizontal="center" vertical="center"/>
      <protection/>
    </xf>
    <xf numFmtId="0" fontId="38" fillId="0" borderId="44" xfId="60" applyBorder="1" applyAlignment="1">
      <alignment horizontal="center" vertical="center" wrapText="1"/>
      <protection/>
    </xf>
    <xf numFmtId="0" fontId="38" fillId="0" borderId="10" xfId="60" applyBorder="1" applyAlignment="1">
      <alignment horizontal="center" vertical="center" wrapText="1"/>
      <protection/>
    </xf>
    <xf numFmtId="0" fontId="38" fillId="0" borderId="64" xfId="60" applyBorder="1" applyAlignment="1">
      <alignment horizontal="center" vertical="center" wrapText="1"/>
      <protection/>
    </xf>
    <xf numFmtId="0" fontId="38" fillId="0" borderId="65" xfId="60" applyBorder="1" applyAlignment="1">
      <alignment horizontal="center" vertical="center" wrapText="1"/>
      <protection/>
    </xf>
    <xf numFmtId="0" fontId="38" fillId="0" borderId="66" xfId="60" applyBorder="1" applyAlignment="1">
      <alignment horizontal="center" vertical="center" wrapText="1"/>
      <protection/>
    </xf>
    <xf numFmtId="0" fontId="38" fillId="0" borderId="67" xfId="60" applyBorder="1" applyAlignment="1">
      <alignment horizontal="center" vertical="center" wrapText="1"/>
      <protection/>
    </xf>
    <xf numFmtId="0" fontId="38" fillId="0" borderId="45" xfId="60" applyBorder="1" applyAlignment="1">
      <alignment horizontal="center" vertical="center" wrapText="1"/>
      <protection/>
    </xf>
    <xf numFmtId="0" fontId="38" fillId="0" borderId="14" xfId="60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70" xfId="0" applyFont="1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0" xfId="0" applyBorder="1" applyAlignment="1">
      <alignment horizontal="center"/>
    </xf>
    <xf numFmtId="0" fontId="38" fillId="0" borderId="57" xfId="60" applyBorder="1" applyAlignment="1">
      <alignment horizontal="center" vertical="center" wrapText="1"/>
      <protection/>
    </xf>
    <xf numFmtId="0" fontId="38" fillId="0" borderId="27" xfId="60" applyBorder="1" applyAlignment="1">
      <alignment horizontal="center" vertical="center" wrapText="1"/>
      <protection/>
    </xf>
    <xf numFmtId="0" fontId="38" fillId="0" borderId="71" xfId="60" applyBorder="1" applyAlignment="1">
      <alignment horizontal="center" vertical="center" wrapText="1"/>
      <protection/>
    </xf>
    <xf numFmtId="0" fontId="38" fillId="0" borderId="49" xfId="60" applyBorder="1" applyAlignment="1">
      <alignment horizontal="center" vertical="center" wrapText="1"/>
      <protection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2" fontId="38" fillId="0" borderId="56" xfId="60" applyNumberFormat="1" applyBorder="1" applyAlignment="1">
      <alignment horizontal="center" vertical="center"/>
      <protection/>
    </xf>
    <xf numFmtId="2" fontId="38" fillId="0" borderId="48" xfId="60" applyNumberFormat="1" applyBorder="1" applyAlignment="1">
      <alignment horizontal="center" vertical="center"/>
      <protection/>
    </xf>
    <xf numFmtId="49" fontId="0" fillId="0" borderId="73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73" xfId="0" applyNumberFormat="1" applyFont="1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8" fillId="43" borderId="43" xfId="0" applyFont="1" applyFill="1" applyBorder="1" applyAlignment="1">
      <alignment horizontal="center" vertical="center"/>
    </xf>
    <xf numFmtId="0" fontId="8" fillId="43" borderId="44" xfId="0" applyFont="1" applyFill="1" applyBorder="1" applyAlignment="1">
      <alignment horizontal="center" vertical="center"/>
    </xf>
    <xf numFmtId="0" fontId="8" fillId="43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5" fillId="0" borderId="43" xfId="77" applyFont="1" applyBorder="1" applyAlignment="1">
      <alignment horizontal="center"/>
    </xf>
    <xf numFmtId="9" fontId="5" fillId="0" borderId="44" xfId="77" applyFont="1" applyBorder="1" applyAlignment="1">
      <alignment horizontal="center"/>
    </xf>
    <xf numFmtId="9" fontId="5" fillId="0" borderId="45" xfId="77" applyFont="1" applyBorder="1" applyAlignment="1">
      <alignment horizontal="center"/>
    </xf>
    <xf numFmtId="0" fontId="3" fillId="44" borderId="17" xfId="0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/>
    </xf>
    <xf numFmtId="0" fontId="3" fillId="44" borderId="23" xfId="0" applyFont="1" applyFill="1" applyBorder="1" applyAlignment="1">
      <alignment horizontal="center" vertical="center"/>
    </xf>
    <xf numFmtId="0" fontId="3" fillId="44" borderId="24" xfId="0" applyFont="1" applyFill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5" fillId="45" borderId="74" xfId="0" applyFont="1" applyFill="1" applyBorder="1" applyAlignment="1">
      <alignment horizontal="center" vertical="center" wrapText="1"/>
    </xf>
    <xf numFmtId="0" fontId="55" fillId="45" borderId="75" xfId="0" applyFont="1" applyFill="1" applyBorder="1" applyAlignment="1">
      <alignment horizontal="center" vertical="center" wrapText="1"/>
    </xf>
    <xf numFmtId="0" fontId="55" fillId="45" borderId="76" xfId="0" applyFont="1" applyFill="1" applyBorder="1" applyAlignment="1">
      <alignment horizontal="center" vertical="center" wrapText="1"/>
    </xf>
    <xf numFmtId="0" fontId="55" fillId="46" borderId="74" xfId="0" applyFont="1" applyFill="1" applyBorder="1" applyAlignment="1">
      <alignment horizontal="center" vertical="center" wrapText="1"/>
    </xf>
    <xf numFmtId="0" fontId="55" fillId="46" borderId="76" xfId="0" applyFont="1" applyFill="1" applyBorder="1" applyAlignment="1">
      <alignment horizontal="center" vertical="center" wrapText="1"/>
    </xf>
  </cellXfs>
  <cellStyles count="9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2 3" xfId="50"/>
    <cellStyle name="Moeda 3" xfId="51"/>
    <cellStyle name="Moeda 4" xfId="52"/>
    <cellStyle name="Neutro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 3" xfId="66"/>
    <cellStyle name="Normal 24" xfId="67"/>
    <cellStyle name="Normal 28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" xfId="76"/>
    <cellStyle name="Percent" xfId="77"/>
    <cellStyle name="Porcentagem 2" xfId="78"/>
    <cellStyle name="Porcentagem 2 2" xfId="79"/>
    <cellStyle name="Porcentagem 3" xfId="80"/>
    <cellStyle name="Porcentagem 4" xfId="81"/>
    <cellStyle name="Ruim" xfId="82"/>
    <cellStyle name="Saída" xfId="83"/>
    <cellStyle name="Comma [0]" xfId="84"/>
    <cellStyle name="Separador de milhares 10" xfId="85"/>
    <cellStyle name="Separador de milhares 11" xfId="86"/>
    <cellStyle name="Separador de milhares 12" xfId="87"/>
    <cellStyle name="Separador de milhares 13" xfId="88"/>
    <cellStyle name="Separador de milhares 14" xfId="89"/>
    <cellStyle name="Separador de milhares 15" xfId="90"/>
    <cellStyle name="Separador de milhares 16" xfId="91"/>
    <cellStyle name="Separador de milhares 17" xfId="92"/>
    <cellStyle name="Separador de milhares 2" xfId="93"/>
    <cellStyle name="Separador de milhares 22" xfId="94"/>
    <cellStyle name="Separador de milhares 3" xfId="95"/>
    <cellStyle name="Separador de milhares 4" xfId="96"/>
    <cellStyle name="Separador de milhares 5" xfId="97"/>
    <cellStyle name="Separador de milhares 6" xfId="98"/>
    <cellStyle name="Separador de milhares 7" xfId="99"/>
    <cellStyle name="Separador de milhares 8" xfId="100"/>
    <cellStyle name="Separador de milhares 9" xfId="101"/>
    <cellStyle name="Texto de Aviso" xfId="102"/>
    <cellStyle name="Texto Explicativo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  <cellStyle name="Comma" xfId="110"/>
    <cellStyle name="Vírgula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:J1"/>
    </sheetView>
  </sheetViews>
  <sheetFormatPr defaultColWidth="8.8515625" defaultRowHeight="12.75"/>
  <cols>
    <col min="1" max="1" width="12.7109375" style="103" customWidth="1"/>
    <col min="2" max="2" width="8.421875" style="103" customWidth="1"/>
    <col min="3" max="4" width="11.28125" style="103" bestFit="1" customWidth="1"/>
    <col min="5" max="5" width="13.57421875" style="103" customWidth="1"/>
    <col min="6" max="6" width="15.140625" style="103" customWidth="1"/>
    <col min="7" max="7" width="11.28125" style="103" bestFit="1" customWidth="1"/>
    <col min="8" max="8" width="16.140625" style="103" bestFit="1" customWidth="1"/>
    <col min="9" max="9" width="11.57421875" style="103" customWidth="1"/>
    <col min="10" max="10" width="19.57421875" style="103" hidden="1" customWidth="1"/>
    <col min="11" max="16384" width="8.8515625" style="103" customWidth="1"/>
  </cols>
  <sheetData>
    <row r="1" spans="1:10" ht="18" customHeight="1" thickBot="1">
      <c r="A1" s="393" t="s">
        <v>453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6.5" customHeight="1" thickBot="1">
      <c r="A2" s="396" t="s">
        <v>282</v>
      </c>
      <c r="B2" s="397"/>
      <c r="C2" s="397"/>
      <c r="D2" s="397"/>
      <c r="E2" s="397"/>
      <c r="F2" s="397"/>
      <c r="G2" s="397"/>
      <c r="H2" s="397"/>
      <c r="I2" s="397"/>
      <c r="J2" s="398"/>
    </row>
    <row r="3" spans="1:10" s="261" customFormat="1" ht="15" customHeight="1" thickBot="1">
      <c r="A3" s="393" t="str">
        <f>'Itinerário 1'!A3:H3</f>
        <v>Serviço de Transporte Escolar - Espumoso/RS</v>
      </c>
      <c r="B3" s="394"/>
      <c r="C3" s="394"/>
      <c r="D3" s="394"/>
      <c r="E3" s="394"/>
      <c r="F3" s="394"/>
      <c r="G3" s="394"/>
      <c r="H3" s="394"/>
      <c r="I3" s="394"/>
      <c r="J3" s="395"/>
    </row>
    <row r="4" spans="1:10" s="261" customFormat="1" ht="17.25" customHeight="1" thickBot="1">
      <c r="A4" s="399" t="s">
        <v>9</v>
      </c>
      <c r="B4" s="400"/>
      <c r="C4" s="400"/>
      <c r="D4" s="400"/>
      <c r="E4" s="400"/>
      <c r="F4" s="400"/>
      <c r="G4" s="400"/>
      <c r="H4" s="400"/>
      <c r="I4" s="400"/>
      <c r="J4" s="401"/>
    </row>
    <row r="5" spans="1:10" s="261" customFormat="1" ht="16.5" thickBot="1">
      <c r="A5" s="262"/>
      <c r="B5" s="262"/>
      <c r="C5" s="262"/>
      <c r="D5" s="262"/>
      <c r="E5" s="262"/>
      <c r="F5" s="262"/>
      <c r="G5" s="262"/>
      <c r="H5" s="262"/>
      <c r="I5" s="262"/>
      <c r="J5" s="96"/>
    </row>
    <row r="6" spans="1:10" s="261" customFormat="1" ht="15.75" customHeight="1" thickBot="1">
      <c r="A6" s="402" t="s">
        <v>283</v>
      </c>
      <c r="B6" s="403"/>
      <c r="C6" s="403"/>
      <c r="D6" s="403"/>
      <c r="E6" s="403"/>
      <c r="F6" s="403"/>
      <c r="G6" s="403"/>
      <c r="H6" s="403"/>
      <c r="I6" s="404"/>
      <c r="J6" s="96"/>
    </row>
    <row r="7" spans="1:10" ht="15.75">
      <c r="A7" s="127" t="s">
        <v>377</v>
      </c>
      <c r="B7" s="127" t="s">
        <v>180</v>
      </c>
      <c r="C7" s="127" t="s">
        <v>181</v>
      </c>
      <c r="D7" s="127" t="s">
        <v>182</v>
      </c>
      <c r="E7" s="127" t="s">
        <v>183</v>
      </c>
      <c r="F7" s="127" t="s">
        <v>184</v>
      </c>
      <c r="G7" s="127" t="s">
        <v>185</v>
      </c>
      <c r="H7" s="127" t="s">
        <v>186</v>
      </c>
      <c r="I7" s="127" t="s">
        <v>187</v>
      </c>
      <c r="J7" s="102" t="s">
        <v>188</v>
      </c>
    </row>
    <row r="8" spans="1:10" ht="15.75">
      <c r="A8" s="249">
        <v>1</v>
      </c>
      <c r="B8" s="249">
        <f>'Itinerário 1'!G8</f>
        <v>24</v>
      </c>
      <c r="C8" s="250">
        <f>'Itinerário 1'!G11</f>
        <v>87.29789999999998</v>
      </c>
      <c r="D8" s="249">
        <v>20</v>
      </c>
      <c r="E8" s="250">
        <f aca="true" t="shared" si="0" ref="E8:E15">C8*D8</f>
        <v>1745.9579999999996</v>
      </c>
      <c r="F8" s="250">
        <f>'Itinerário 1'!H59</f>
        <v>9678.98750227668</v>
      </c>
      <c r="G8" s="250">
        <f>F8/E8</f>
        <v>5.543654258737427</v>
      </c>
      <c r="H8" s="250">
        <f>C8*201*G8</f>
        <v>97273.82439788061</v>
      </c>
      <c r="I8" s="251">
        <f aca="true" t="shared" si="1" ref="I8:I34">H8/$H$36</f>
        <v>0.03724295300847801</v>
      </c>
      <c r="J8" s="250">
        <f aca="true" t="shared" si="2" ref="J8:J34">H8/B8</f>
        <v>4053.076016578359</v>
      </c>
    </row>
    <row r="9" spans="1:10" ht="15.75">
      <c r="A9" s="249">
        <v>2</v>
      </c>
      <c r="B9" s="249">
        <f>'Itinerário 2'!G8</f>
        <v>15</v>
      </c>
      <c r="C9" s="250">
        <f>'Itinerário 2'!G11</f>
        <v>36.500879999999995</v>
      </c>
      <c r="D9" s="249">
        <v>20</v>
      </c>
      <c r="E9" s="250">
        <f t="shared" si="0"/>
        <v>730.0175999999999</v>
      </c>
      <c r="F9" s="250">
        <f>'Itinerário 2'!H59</f>
        <v>4896.474770038374</v>
      </c>
      <c r="G9" s="250">
        <f aca="true" t="shared" si="3" ref="G9:G15">F9/E9</f>
        <v>6.707337973821966</v>
      </c>
      <c r="H9" s="250">
        <f>C9*201*G9</f>
        <v>49209.57143888566</v>
      </c>
      <c r="I9" s="251">
        <f t="shared" si="1"/>
        <v>0.01884072892178475</v>
      </c>
      <c r="J9" s="250">
        <f t="shared" si="2"/>
        <v>3280.6380959257103</v>
      </c>
    </row>
    <row r="10" spans="1:10" ht="15.75">
      <c r="A10" s="249">
        <v>3</v>
      </c>
      <c r="B10" s="249">
        <f>'Itinerário 3'!G8</f>
        <v>15</v>
      </c>
      <c r="C10" s="250">
        <f>'Itinerário 3'!G11</f>
        <v>89.16411999999998</v>
      </c>
      <c r="D10" s="249">
        <v>20</v>
      </c>
      <c r="E10" s="250">
        <f t="shared" si="0"/>
        <v>1783.2823999999996</v>
      </c>
      <c r="F10" s="250">
        <f>'Itinerário 3'!H59</f>
        <v>9646.7753097535</v>
      </c>
      <c r="G10" s="250">
        <f t="shared" si="3"/>
        <v>5.409561216862513</v>
      </c>
      <c r="H10" s="250">
        <f aca="true" t="shared" si="4" ref="H10:H15">C10*201*G10</f>
        <v>96950.0918630227</v>
      </c>
      <c r="I10" s="251">
        <f t="shared" si="1"/>
        <v>0.03711900645186158</v>
      </c>
      <c r="J10" s="250">
        <f t="shared" si="2"/>
        <v>6463.339457534847</v>
      </c>
    </row>
    <row r="11" spans="1:10" ht="15.75">
      <c r="A11" s="249">
        <v>4</v>
      </c>
      <c r="B11" s="249">
        <f>'Itinerário 4'!G8</f>
        <v>33</v>
      </c>
      <c r="C11" s="250">
        <f>'Itinerário 4'!G11</f>
        <v>70.36678</v>
      </c>
      <c r="D11" s="249">
        <v>20</v>
      </c>
      <c r="E11" s="250">
        <f>C11*D11</f>
        <v>1407.3356</v>
      </c>
      <c r="F11" s="250">
        <f>'Itinerário 4'!H59</f>
        <v>8114.652103303777</v>
      </c>
      <c r="G11" s="250">
        <f t="shared" si="3"/>
        <v>5.765968048633018</v>
      </c>
      <c r="H11" s="250">
        <f t="shared" si="4"/>
        <v>81552.25363820296</v>
      </c>
      <c r="I11" s="251">
        <f t="shared" si="1"/>
        <v>0.03122367984176068</v>
      </c>
      <c r="J11" s="250">
        <f t="shared" si="2"/>
        <v>2471.280413278878</v>
      </c>
    </row>
    <row r="12" spans="1:10" ht="15.75">
      <c r="A12" s="249">
        <v>5</v>
      </c>
      <c r="B12" s="249">
        <f>'Itinerário 5'!G8</f>
        <v>15</v>
      </c>
      <c r="C12" s="250">
        <f>'Itinerário 5'!G11</f>
        <v>61.38838</v>
      </c>
      <c r="D12" s="249">
        <v>20</v>
      </c>
      <c r="E12" s="250">
        <f>C12*D12</f>
        <v>1227.7676</v>
      </c>
      <c r="F12" s="250">
        <f>'Itinerário 5'!H59</f>
        <v>7141.363323840992</v>
      </c>
      <c r="G12" s="250">
        <f t="shared" si="3"/>
        <v>5.8165432316677785</v>
      </c>
      <c r="H12" s="250">
        <f t="shared" si="4"/>
        <v>71770.70140460198</v>
      </c>
      <c r="I12" s="251">
        <f t="shared" si="1"/>
        <v>0.02747864470573171</v>
      </c>
      <c r="J12" s="250">
        <f t="shared" si="2"/>
        <v>4784.713426973465</v>
      </c>
    </row>
    <row r="13" spans="1:10" ht="15.75">
      <c r="A13" s="249">
        <v>6</v>
      </c>
      <c r="B13" s="249">
        <f>'Itinerário 6'!G8</f>
        <v>15</v>
      </c>
      <c r="C13" s="250">
        <f>'Itinerário 6'!G11</f>
        <v>52.45895999999999</v>
      </c>
      <c r="D13" s="249">
        <v>20</v>
      </c>
      <c r="E13" s="250">
        <f t="shared" si="0"/>
        <v>1049.1791999999998</v>
      </c>
      <c r="F13" s="250">
        <f>'Itinerário 6'!H59</f>
        <v>6335.916704048077</v>
      </c>
      <c r="G13" s="250">
        <f t="shared" si="3"/>
        <v>6.038927100392457</v>
      </c>
      <c r="H13" s="250">
        <f t="shared" si="4"/>
        <v>63675.962875683166</v>
      </c>
      <c r="I13" s="251">
        <f t="shared" si="1"/>
        <v>0.024379435144325712</v>
      </c>
      <c r="J13" s="250">
        <f t="shared" si="2"/>
        <v>4245.064191712211</v>
      </c>
    </row>
    <row r="14" spans="1:10" ht="15.75">
      <c r="A14" s="249">
        <v>7</v>
      </c>
      <c r="B14" s="249">
        <f>'Itinerário 7'!G8</f>
        <v>22</v>
      </c>
      <c r="C14" s="250">
        <f>'Itinerário 7'!G11</f>
        <v>65.42898000000001</v>
      </c>
      <c r="D14" s="249">
        <v>20</v>
      </c>
      <c r="E14" s="250">
        <f t="shared" si="0"/>
        <v>1308.5796000000003</v>
      </c>
      <c r="F14" s="250">
        <f>'Itinerário 7'!H59</f>
        <v>7524.928050223929</v>
      </c>
      <c r="G14" s="250">
        <f t="shared" si="3"/>
        <v>5.750454959120505</v>
      </c>
      <c r="H14" s="250">
        <f t="shared" si="4"/>
        <v>75625.52690475048</v>
      </c>
      <c r="I14" s="251">
        <f t="shared" si="1"/>
        <v>0.028954530801981893</v>
      </c>
      <c r="J14" s="250">
        <f t="shared" si="2"/>
        <v>3437.523950215931</v>
      </c>
    </row>
    <row r="15" spans="1:10" ht="15.75">
      <c r="A15" s="249">
        <v>8</v>
      </c>
      <c r="B15" s="249">
        <f>'Itinerário 8'!G8</f>
        <v>24</v>
      </c>
      <c r="C15" s="250">
        <f>'Itinerário 8'!G11</f>
        <v>81.68172</v>
      </c>
      <c r="D15" s="249">
        <v>20</v>
      </c>
      <c r="E15" s="250">
        <f t="shared" si="0"/>
        <v>1633.6344</v>
      </c>
      <c r="F15" s="250">
        <f>'Itinerário 8'!H59</f>
        <v>9160.085670560667</v>
      </c>
      <c r="G15" s="250">
        <f t="shared" si="3"/>
        <v>5.607182164234953</v>
      </c>
      <c r="H15" s="250">
        <f t="shared" si="4"/>
        <v>92058.86098913473</v>
      </c>
      <c r="I15" s="251">
        <f t="shared" si="1"/>
        <v>0.03524631477229197</v>
      </c>
      <c r="J15" s="250">
        <f t="shared" si="2"/>
        <v>3835.7858745472804</v>
      </c>
    </row>
    <row r="16" spans="1:10" ht="15.75">
      <c r="A16" s="249">
        <v>9</v>
      </c>
      <c r="B16" s="249">
        <f>'Itinerário 9'!$G$8</f>
        <v>24</v>
      </c>
      <c r="C16" s="250">
        <f>'Itinerário 9'!$G$11</f>
        <v>123.87382000000001</v>
      </c>
      <c r="D16" s="249">
        <v>20</v>
      </c>
      <c r="E16" s="250">
        <f>C16*D16</f>
        <v>2477.4764</v>
      </c>
      <c r="F16" s="250">
        <f>'Itinerário 9'!$H$59</f>
        <v>13058.386290189175</v>
      </c>
      <c r="G16" s="250">
        <f>F16/E16</f>
        <v>5.27084184946794</v>
      </c>
      <c r="H16" s="250">
        <f>C16*201*G16</f>
        <v>131236.78221640122</v>
      </c>
      <c r="I16" s="251">
        <f t="shared" si="1"/>
        <v>0.050246254255176426</v>
      </c>
      <c r="J16" s="250">
        <f t="shared" si="2"/>
        <v>5468.199259016717</v>
      </c>
    </row>
    <row r="17" spans="1:10" ht="15.75">
      <c r="A17" s="249">
        <v>10</v>
      </c>
      <c r="B17" s="249">
        <f>'Itinerário 10'!$G$8</f>
        <v>24</v>
      </c>
      <c r="C17" s="250">
        <f>'Itinerário 10'!$G$11</f>
        <v>63.57068000000001</v>
      </c>
      <c r="D17" s="249">
        <v>20</v>
      </c>
      <c r="E17" s="250">
        <f aca="true" t="shared" si="5" ref="E17:E34">C17*D17</f>
        <v>1271.4136000000003</v>
      </c>
      <c r="F17" s="250">
        <f>'Itinerário 10'!$H$59</f>
        <v>7486.732638734408</v>
      </c>
      <c r="G17" s="250">
        <f aca="true" t="shared" si="6" ref="G17:G34">F17/E17</f>
        <v>5.888510740119822</v>
      </c>
      <c r="H17" s="250">
        <f aca="true" t="shared" si="7" ref="H17:H34">C17*201*G17</f>
        <v>75241.6630192808</v>
      </c>
      <c r="I17" s="251">
        <f t="shared" si="1"/>
        <v>0.02880756192585625</v>
      </c>
      <c r="J17" s="250">
        <f t="shared" si="2"/>
        <v>3135.069292470033</v>
      </c>
    </row>
    <row r="18" spans="1:10" ht="15.75">
      <c r="A18" s="249">
        <v>11</v>
      </c>
      <c r="B18" s="249">
        <f>'Itinerário 11'!$G$8</f>
        <v>23</v>
      </c>
      <c r="C18" s="250">
        <f>'Itinerário 11'!$G$11</f>
        <v>62.05162</v>
      </c>
      <c r="D18" s="249">
        <v>20</v>
      </c>
      <c r="E18" s="250">
        <f t="shared" si="5"/>
        <v>1241.0324</v>
      </c>
      <c r="F18" s="250">
        <f>'Itinerário 11'!$H$59</f>
        <v>7346.380474721408</v>
      </c>
      <c r="G18" s="250">
        <f t="shared" si="6"/>
        <v>5.919571861880002</v>
      </c>
      <c r="H18" s="250">
        <f t="shared" si="7"/>
        <v>73831.12377095016</v>
      </c>
      <c r="I18" s="251">
        <f t="shared" si="1"/>
        <v>0.028267512768054903</v>
      </c>
      <c r="J18" s="250">
        <f t="shared" si="2"/>
        <v>3210.048859606529</v>
      </c>
    </row>
    <row r="19" spans="1:10" ht="15.75">
      <c r="A19" s="249">
        <v>12</v>
      </c>
      <c r="B19" s="249">
        <f>'Itinerário 12'!$G$8</f>
        <v>22</v>
      </c>
      <c r="C19" s="250">
        <f>'Itinerário 12'!$G$11</f>
        <v>72.76566</v>
      </c>
      <c r="D19" s="249">
        <v>20</v>
      </c>
      <c r="E19" s="250">
        <f>C19*D19</f>
        <v>1455.3132</v>
      </c>
      <c r="F19" s="250">
        <f>'Itinerário 12'!$H$59</f>
        <v>8336.294434223888</v>
      </c>
      <c r="G19" s="250">
        <f>F19/E19</f>
        <v>5.728178947475971</v>
      </c>
      <c r="H19" s="250">
        <f>C19*201*G19</f>
        <v>83779.75906395007</v>
      </c>
      <c r="I19" s="251">
        <f t="shared" si="1"/>
        <v>0.032076518520724316</v>
      </c>
      <c r="J19" s="250">
        <f t="shared" si="2"/>
        <v>3808.170866543185</v>
      </c>
    </row>
    <row r="20" spans="1:10" ht="15.75">
      <c r="A20" s="249">
        <v>13</v>
      </c>
      <c r="B20" s="249">
        <f>'Itinerário 13'!$G$8</f>
        <v>22</v>
      </c>
      <c r="C20" s="250">
        <f>'Itinerário 13'!$G$11</f>
        <v>76.71132</v>
      </c>
      <c r="D20" s="249">
        <v>20</v>
      </c>
      <c r="E20" s="250">
        <f t="shared" si="5"/>
        <v>1534.2264</v>
      </c>
      <c r="F20" s="250">
        <f>'Itinerário 13'!$H$59</f>
        <v>8700.850093289055</v>
      </c>
      <c r="G20" s="250">
        <f t="shared" si="6"/>
        <v>5.671164368758779</v>
      </c>
      <c r="H20" s="250">
        <f t="shared" si="7"/>
        <v>87443.543437555</v>
      </c>
      <c r="I20" s="251">
        <f t="shared" si="1"/>
        <v>0.033479261243177995</v>
      </c>
      <c r="J20" s="250">
        <f t="shared" si="2"/>
        <v>3974.7065198888636</v>
      </c>
    </row>
    <row r="21" spans="1:10" ht="15.75">
      <c r="A21" s="249">
        <v>14</v>
      </c>
      <c r="B21" s="249">
        <f>'Itinerário 14'!$G$8</f>
        <v>20</v>
      </c>
      <c r="C21" s="250">
        <f>'Itinerário 14'!$G$11</f>
        <v>105.7137</v>
      </c>
      <c r="D21" s="249">
        <v>20</v>
      </c>
      <c r="E21" s="250">
        <f t="shared" si="5"/>
        <v>2114.274</v>
      </c>
      <c r="F21" s="250">
        <f>'Itinerário 14'!$H$59</f>
        <v>11380.498556501398</v>
      </c>
      <c r="G21" s="250">
        <f t="shared" si="6"/>
        <v>5.3826980592399085</v>
      </c>
      <c r="H21" s="250">
        <f t="shared" si="7"/>
        <v>114374.01049283906</v>
      </c>
      <c r="I21" s="251">
        <f t="shared" si="1"/>
        <v>0.04379005271503219</v>
      </c>
      <c r="J21" s="250">
        <f t="shared" si="2"/>
        <v>5718.700524641953</v>
      </c>
    </row>
    <row r="22" spans="1:10" ht="15.75">
      <c r="A22" s="249">
        <v>15</v>
      </c>
      <c r="B22" s="249">
        <f>'Itinerário 15'!$G$8</f>
        <v>24</v>
      </c>
      <c r="C22" s="250">
        <f>'Itinerário 15'!$G$11</f>
        <v>109.09166</v>
      </c>
      <c r="D22" s="249">
        <v>20</v>
      </c>
      <c r="E22" s="250">
        <f t="shared" si="5"/>
        <v>2181.8332</v>
      </c>
      <c r="F22" s="250">
        <f>'Itinerário 15'!$H$59</f>
        <v>12499.190895288766</v>
      </c>
      <c r="G22" s="250">
        <f t="shared" si="6"/>
        <v>5.7287563940675055</v>
      </c>
      <c r="H22" s="250">
        <f t="shared" si="7"/>
        <v>125616.8684976521</v>
      </c>
      <c r="I22" s="251">
        <f t="shared" si="1"/>
        <v>0.048094573843363256</v>
      </c>
      <c r="J22" s="250">
        <f t="shared" si="2"/>
        <v>5234.036187402171</v>
      </c>
    </row>
    <row r="23" spans="1:10" ht="15.75">
      <c r="A23" s="249">
        <v>16</v>
      </c>
      <c r="B23" s="249">
        <f>'Itinerário 16'!$G$8</f>
        <v>24</v>
      </c>
      <c r="C23" s="250">
        <f>'Itinerário 16'!$G$11</f>
        <v>99.96602</v>
      </c>
      <c r="D23" s="249">
        <v>20</v>
      </c>
      <c r="E23" s="250">
        <f t="shared" si="5"/>
        <v>1999.3204</v>
      </c>
      <c r="F23" s="250">
        <f>'Itinerário 16'!H59</f>
        <v>10849.446902153159</v>
      </c>
      <c r="G23" s="250">
        <f t="shared" si="6"/>
        <v>5.4265673986786505</v>
      </c>
      <c r="H23" s="250">
        <f t="shared" si="7"/>
        <v>109036.94136663925</v>
      </c>
      <c r="I23" s="251">
        <f t="shared" si="1"/>
        <v>0.04174666420943551</v>
      </c>
      <c r="J23" s="250">
        <f t="shared" si="2"/>
        <v>4543.205890276636</v>
      </c>
    </row>
    <row r="24" spans="1:10" ht="15.75">
      <c r="A24" s="249">
        <v>17</v>
      </c>
      <c r="B24" s="249">
        <f>'Itinerário 17'!$G$8</f>
        <v>19</v>
      </c>
      <c r="C24" s="250">
        <f>'Itinerário 17'!$G$11</f>
        <v>98.17671999999999</v>
      </c>
      <c r="D24" s="249">
        <v>20</v>
      </c>
      <c r="E24" s="250">
        <f t="shared" si="5"/>
        <v>1963.5343999999998</v>
      </c>
      <c r="F24" s="250">
        <f>'Itinerário 17'!$H$59</f>
        <v>10684.126159675268</v>
      </c>
      <c r="G24" s="250">
        <f t="shared" si="6"/>
        <v>5.441272717032749</v>
      </c>
      <c r="H24" s="250">
        <f t="shared" si="7"/>
        <v>107375.46790473643</v>
      </c>
      <c r="I24" s="251">
        <f t="shared" si="1"/>
        <v>0.04111054058163017</v>
      </c>
      <c r="J24" s="250">
        <f t="shared" si="2"/>
        <v>5651.34041603876</v>
      </c>
    </row>
    <row r="25" spans="1:10" ht="15.75">
      <c r="A25" s="249">
        <v>18</v>
      </c>
      <c r="B25" s="249">
        <f>'Itinerário 18'!$G$8</f>
        <v>20</v>
      </c>
      <c r="C25" s="250">
        <f>'Itinerário 18'!$G$11</f>
        <v>88.51756</v>
      </c>
      <c r="D25" s="249">
        <v>20</v>
      </c>
      <c r="E25" s="250">
        <f t="shared" si="5"/>
        <v>1770.3512</v>
      </c>
      <c r="F25" s="250">
        <f>'Itinerário 18'!$H$59</f>
        <v>9791.676876205356</v>
      </c>
      <c r="G25" s="250">
        <f t="shared" si="6"/>
        <v>5.5309233988179045</v>
      </c>
      <c r="H25" s="250">
        <f t="shared" si="7"/>
        <v>98406.35260586382</v>
      </c>
      <c r="I25" s="251">
        <f t="shared" si="1"/>
        <v>0.037676560868473014</v>
      </c>
      <c r="J25" s="250">
        <f t="shared" si="2"/>
        <v>4920.3176302931915</v>
      </c>
    </row>
    <row r="26" spans="1:10" ht="15.75">
      <c r="A26" s="249">
        <v>19</v>
      </c>
      <c r="B26" s="249">
        <f>'Itinerário 19'!$G$8</f>
        <v>24</v>
      </c>
      <c r="C26" s="250">
        <f>'Itinerário 19'!$G$11</f>
        <v>123.87382000000001</v>
      </c>
      <c r="D26" s="249">
        <v>20</v>
      </c>
      <c r="E26" s="250">
        <f t="shared" si="5"/>
        <v>2477.4764</v>
      </c>
      <c r="F26" s="250">
        <f>'Itinerário 19'!$H$59</f>
        <v>13058.386290189175</v>
      </c>
      <c r="G26" s="250">
        <f t="shared" si="6"/>
        <v>5.27084184946794</v>
      </c>
      <c r="H26" s="250">
        <f t="shared" si="7"/>
        <v>131236.78221640122</v>
      </c>
      <c r="I26" s="251">
        <f t="shared" si="1"/>
        <v>0.050246254255176426</v>
      </c>
      <c r="J26" s="250">
        <f t="shared" si="2"/>
        <v>5468.199259016717</v>
      </c>
    </row>
    <row r="27" spans="1:10" ht="15.75">
      <c r="A27" s="249">
        <v>20</v>
      </c>
      <c r="B27" s="249">
        <f>'Itinerário 20'!$G$8</f>
        <v>14</v>
      </c>
      <c r="C27" s="250">
        <f>'Itinerário 20'!$G$11</f>
        <v>101.17211999999999</v>
      </c>
      <c r="D27" s="249">
        <v>20</v>
      </c>
      <c r="E27" s="250">
        <f t="shared" si="5"/>
        <v>2023.4424</v>
      </c>
      <c r="F27" s="250">
        <f>'Itinerário 20'!$H$59</f>
        <v>12333.956821663856</v>
      </c>
      <c r="G27" s="250">
        <f t="shared" si="6"/>
        <v>6.095531467396283</v>
      </c>
      <c r="H27" s="250">
        <f t="shared" si="7"/>
        <v>123956.26605772175</v>
      </c>
      <c r="I27" s="251">
        <f t="shared" si="1"/>
        <v>0.04745878370126787</v>
      </c>
      <c r="J27" s="250">
        <f t="shared" si="2"/>
        <v>8854.019004122982</v>
      </c>
    </row>
    <row r="28" spans="1:10" ht="15.75">
      <c r="A28" s="249">
        <v>21</v>
      </c>
      <c r="B28" s="249">
        <f>'Itinerário 21'!$G$8</f>
        <v>15</v>
      </c>
      <c r="C28" s="250">
        <f>'Itinerário 21'!$G$11</f>
        <v>87.76423999999999</v>
      </c>
      <c r="D28" s="249">
        <v>20</v>
      </c>
      <c r="E28" s="250">
        <f t="shared" si="5"/>
        <v>1755.2847999999997</v>
      </c>
      <c r="F28" s="250">
        <f>'Itinerário 21'!$H$59</f>
        <v>11124.546622055253</v>
      </c>
      <c r="G28" s="250">
        <f t="shared" si="6"/>
        <v>6.337744519895151</v>
      </c>
      <c r="H28" s="250">
        <f t="shared" si="7"/>
        <v>111801.6935516553</v>
      </c>
      <c r="I28" s="251">
        <f t="shared" si="1"/>
        <v>0.042805197029996474</v>
      </c>
      <c r="J28" s="250">
        <f t="shared" si="2"/>
        <v>7453.44623677702</v>
      </c>
    </row>
    <row r="29" spans="1:10" ht="15.75">
      <c r="A29" s="249">
        <v>22</v>
      </c>
      <c r="B29" s="249">
        <f>'Itinerário 22'!$G$8</f>
        <v>15</v>
      </c>
      <c r="C29" s="250">
        <f>'Itinerário 22'!$G$11</f>
        <v>65.79648</v>
      </c>
      <c r="D29" s="249">
        <v>20</v>
      </c>
      <c r="E29" s="250">
        <f t="shared" si="5"/>
        <v>1315.9296</v>
      </c>
      <c r="F29" s="250">
        <f>'Itinerário 22'!$H$59</f>
        <v>7538.98032972818</v>
      </c>
      <c r="G29" s="250">
        <f t="shared" si="6"/>
        <v>5.729014933419068</v>
      </c>
      <c r="H29" s="250">
        <f t="shared" si="7"/>
        <v>75766.75231376821</v>
      </c>
      <c r="I29" s="251">
        <f t="shared" si="1"/>
        <v>0.029008601373425005</v>
      </c>
      <c r="J29" s="250">
        <f t="shared" si="2"/>
        <v>5051.116820917881</v>
      </c>
    </row>
    <row r="30" spans="1:10" ht="15.75">
      <c r="A30" s="249">
        <v>23</v>
      </c>
      <c r="B30" s="249">
        <f>'Itinerário 23'!$G$8</f>
        <v>22</v>
      </c>
      <c r="C30" s="250">
        <f>'Itinerário 23'!$G$11</f>
        <v>116.24022000000001</v>
      </c>
      <c r="D30" s="249">
        <v>20</v>
      </c>
      <c r="E30" s="250">
        <f t="shared" si="5"/>
        <v>2324.8044</v>
      </c>
      <c r="F30" s="250">
        <f>'Itinerário 23'!$H$59</f>
        <v>12353.086776536235</v>
      </c>
      <c r="G30" s="250">
        <f t="shared" si="6"/>
        <v>5.313602631058439</v>
      </c>
      <c r="H30" s="250">
        <f t="shared" si="7"/>
        <v>124148.52210418916</v>
      </c>
      <c r="I30" s="251">
        <f t="shared" si="1"/>
        <v>0.04753239222800672</v>
      </c>
      <c r="J30" s="250">
        <f t="shared" si="2"/>
        <v>5643.114641099507</v>
      </c>
    </row>
    <row r="31" spans="1:10" ht="15.75">
      <c r="A31" s="249">
        <v>24</v>
      </c>
      <c r="B31" s="249">
        <f>'Itinerário 24'!$G$8</f>
        <v>24</v>
      </c>
      <c r="C31" s="250">
        <f>'Itinerário 24'!$G$11</f>
        <v>86.40126</v>
      </c>
      <c r="D31" s="249">
        <v>20</v>
      </c>
      <c r="E31" s="250">
        <f t="shared" si="5"/>
        <v>1728.0251999999998</v>
      </c>
      <c r="F31" s="250">
        <f>'Itinerário 24'!$H$59</f>
        <v>9596.143266801702</v>
      </c>
      <c r="G31" s="250">
        <f t="shared" si="6"/>
        <v>5.55324266498064</v>
      </c>
      <c r="H31" s="250">
        <f t="shared" si="7"/>
        <v>96441.23983135712</v>
      </c>
      <c r="I31" s="251">
        <f t="shared" si="1"/>
        <v>0.03692418371901545</v>
      </c>
      <c r="J31" s="250">
        <f t="shared" si="2"/>
        <v>4018.3849929732132</v>
      </c>
    </row>
    <row r="32" spans="1:10" ht="15.75">
      <c r="A32" s="249">
        <v>25</v>
      </c>
      <c r="B32" s="249">
        <f>'Itinerário 25'!$G$8</f>
        <v>24</v>
      </c>
      <c r="C32" s="250">
        <f>'Itinerário 25'!$G$11</f>
        <v>85.54602</v>
      </c>
      <c r="D32" s="249">
        <v>20</v>
      </c>
      <c r="E32" s="250">
        <f t="shared" si="5"/>
        <v>1710.9204</v>
      </c>
      <c r="F32" s="250">
        <f>'Itinerário 25'!$H$59</f>
        <v>9517.12414658889</v>
      </c>
      <c r="G32" s="250">
        <f t="shared" si="6"/>
        <v>5.562575644424423</v>
      </c>
      <c r="H32" s="250">
        <f t="shared" si="7"/>
        <v>95647.09767321836</v>
      </c>
      <c r="I32" s="251">
        <f t="shared" si="1"/>
        <v>0.03662013276532171</v>
      </c>
      <c r="J32" s="250">
        <f t="shared" si="2"/>
        <v>3985.2957363840983</v>
      </c>
    </row>
    <row r="33" spans="1:10" ht="15.75">
      <c r="A33" s="249">
        <v>26</v>
      </c>
      <c r="B33" s="249">
        <f>'Itinerário 26'!$G$8</f>
        <v>24</v>
      </c>
      <c r="C33" s="250">
        <f>'Itinerário 26'!$G$11</f>
        <v>113.00073999999998</v>
      </c>
      <c r="D33" s="249">
        <v>20</v>
      </c>
      <c r="E33" s="250">
        <f>C33*D33</f>
        <v>2260.0147999999995</v>
      </c>
      <c r="F33" s="250">
        <f>'Itinerário 26'!$H$59</f>
        <v>12053.777974858333</v>
      </c>
      <c r="G33" s="250">
        <f>F33/E33</f>
        <v>5.333495150057573</v>
      </c>
      <c r="H33" s="250">
        <f>C33*201*G33</f>
        <v>121140.46864732626</v>
      </c>
      <c r="I33" s="251">
        <f>H33/$H$36</f>
        <v>0.04638070734017192</v>
      </c>
      <c r="J33" s="250"/>
    </row>
    <row r="34" spans="1:10" ht="15.75">
      <c r="A34" s="249">
        <v>27</v>
      </c>
      <c r="B34" s="249">
        <f>'Itinerário 27'!G8</f>
        <v>24</v>
      </c>
      <c r="C34" s="250">
        <f>'Itinerário 27'!$G$11</f>
        <v>87.29789999999998</v>
      </c>
      <c r="D34" s="249">
        <v>20</v>
      </c>
      <c r="E34" s="250">
        <f t="shared" si="5"/>
        <v>1745.9579999999996</v>
      </c>
      <c r="F34" s="250">
        <f>'Itinerário 27'!$H$59</f>
        <v>9678.98750227668</v>
      </c>
      <c r="G34" s="250">
        <f t="shared" si="6"/>
        <v>5.543654258737427</v>
      </c>
      <c r="H34" s="250">
        <f t="shared" si="7"/>
        <v>97273.82439788061</v>
      </c>
      <c r="I34" s="251">
        <f t="shared" si="1"/>
        <v>0.03724295300847801</v>
      </c>
      <c r="J34" s="250">
        <f t="shared" si="2"/>
        <v>4053.076016578359</v>
      </c>
    </row>
    <row r="35" spans="1:10" ht="9.75" customHeight="1">
      <c r="A35" s="249"/>
      <c r="B35" s="249"/>
      <c r="C35" s="250"/>
      <c r="D35" s="249"/>
      <c r="E35" s="250"/>
      <c r="F35" s="250"/>
      <c r="G35" s="250"/>
      <c r="H35" s="250"/>
      <c r="I35" s="251"/>
      <c r="J35" s="250"/>
    </row>
    <row r="36" spans="1:10" ht="15.75">
      <c r="A36" s="249" t="s">
        <v>189</v>
      </c>
      <c r="B36" s="249">
        <f>SUM(B8:B34)</f>
        <v>571</v>
      </c>
      <c r="C36" s="250">
        <f>SUM(C8:C34)</f>
        <v>2311.8192799999997</v>
      </c>
      <c r="D36" s="249">
        <v>20</v>
      </c>
      <c r="E36" s="250">
        <f>SUM(E8:E34)</f>
        <v>46236.38560000001</v>
      </c>
      <c r="F36" s="250">
        <f>SUM(F8:F34)</f>
        <v>259887.75648572622</v>
      </c>
      <c r="G36" s="250"/>
      <c r="H36" s="250">
        <f>SUM(H8:H34)</f>
        <v>2611871.9526815484</v>
      </c>
      <c r="I36" s="251">
        <f>H36/$H$36</f>
        <v>1</v>
      </c>
      <c r="J36" s="250">
        <f>H36/B36</f>
        <v>4574.206572121801</v>
      </c>
    </row>
    <row r="37" spans="1:10" ht="15.75">
      <c r="A37" s="252"/>
      <c r="B37" s="253"/>
      <c r="C37" s="254"/>
      <c r="D37" s="254"/>
      <c r="E37" s="254"/>
      <c r="F37" s="255"/>
      <c r="G37" s="255"/>
      <c r="H37" s="255"/>
      <c r="I37" s="250"/>
      <c r="J37" s="255"/>
    </row>
    <row r="38" ht="15.75">
      <c r="A38" s="241"/>
    </row>
    <row r="39" ht="15">
      <c r="A39" s="103" t="s">
        <v>458</v>
      </c>
    </row>
    <row r="40" spans="5:6" ht="15">
      <c r="E40" s="103" t="s">
        <v>28</v>
      </c>
      <c r="F40" s="263"/>
    </row>
    <row r="42" ht="15">
      <c r="A42" s="103" t="s">
        <v>179</v>
      </c>
    </row>
    <row r="45" ht="15">
      <c r="C45" s="263"/>
    </row>
    <row r="46" ht="15">
      <c r="C46" s="263"/>
    </row>
  </sheetData>
  <sheetProtection/>
  <mergeCells count="5">
    <mergeCell ref="A1:J1"/>
    <mergeCell ref="A2:J2"/>
    <mergeCell ref="A3:J3"/>
    <mergeCell ref="A4:J4"/>
    <mergeCell ref="A6:I6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383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 t="s">
        <v>435</v>
      </c>
      <c r="E8" s="104"/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Roteiros!BJ25</f>
        <v>61.936910000000005</v>
      </c>
      <c r="C10" s="433"/>
      <c r="D10" s="108">
        <f>Roteiros!BJ30</f>
        <v>61.936910000000005</v>
      </c>
      <c r="E10" s="108">
        <v>0</v>
      </c>
      <c r="F10" s="108">
        <v>0</v>
      </c>
      <c r="G10" s="107">
        <f>SUM(B10:F10)</f>
        <v>123.87382000000001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123.87382000000001</v>
      </c>
      <c r="H11" s="103"/>
      <c r="I11" s="103"/>
    </row>
    <row r="12" spans="1:10" ht="15.75">
      <c r="A12" s="258" t="s">
        <v>113</v>
      </c>
      <c r="B12" s="428" t="s">
        <v>424</v>
      </c>
      <c r="C12" s="429"/>
      <c r="D12" s="102" t="s">
        <v>424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2.064563666666667</v>
      </c>
      <c r="C13" s="429"/>
      <c r="D13" s="102">
        <f>D10/30</f>
        <v>2.064563666666667</v>
      </c>
      <c r="E13" s="102">
        <f>E10/30</f>
        <v>0</v>
      </c>
      <c r="F13" s="102">
        <f>F10/30</f>
        <v>0</v>
      </c>
      <c r="G13" s="107">
        <f>SUM(B13:F13)</f>
        <v>4.129127333333334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6.129127333333334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2477.4764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3871.056875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1858.1073000000001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515.3150912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6244.4792662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2477.4764</v>
      </c>
      <c r="G31" s="276">
        <f>H30</f>
        <v>0.208</v>
      </c>
      <c r="H31" s="286">
        <f>_xlfn.IFERROR(F31*G31,0)</f>
        <v>515.3150912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3804.298179116794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0.6964917424242425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10048.777445316795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10048.777445316795</v>
      </c>
      <c r="F54" s="149">
        <f>D54*E54/1</f>
        <v>3009.60884487238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3009.60884487238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3009.60884487238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13058.386290189175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5.27084184946794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6244.4792662</v>
      </c>
      <c r="G65" s="202">
        <f>F65/$F$74</f>
        <v>0.4781968558313752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3871.056875</v>
      </c>
      <c r="G66" s="206">
        <f aca="true" t="shared" si="0" ref="G66:G72">F66/$F$74</f>
        <v>0.2964422087825923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1858.1073000000001</v>
      </c>
      <c r="G67" s="206">
        <f t="shared" si="0"/>
        <v>0.1422922602156443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515.3150912</v>
      </c>
      <c r="G68" s="206">
        <f t="shared" si="0"/>
        <v>0.03946238683313868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3804.298179116794</v>
      </c>
      <c r="G69" s="202">
        <f t="shared" si="0"/>
        <v>0.2913298852228763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3804.298179116794</v>
      </c>
      <c r="G70" s="206">
        <f>F70/$F$74</f>
        <v>0.2913298852228763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10048.777445316795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3009.60884487238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13058.386290189175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123.87382000000001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2477.4764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5.27084184946794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292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123.87382000000001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5.27084184946794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8:F18"/>
    <mergeCell ref="B7:C7"/>
    <mergeCell ref="B8:C8"/>
    <mergeCell ref="B10:C10"/>
    <mergeCell ref="B12:C12"/>
    <mergeCell ref="B13:C13"/>
    <mergeCell ref="A16:F16"/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3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384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 t="s">
        <v>435</v>
      </c>
      <c r="E8" s="104"/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Roteiros!BQ25</f>
        <v>31.785340000000005</v>
      </c>
      <c r="C10" s="433"/>
      <c r="D10" s="108">
        <f>Roteiros!BQ30</f>
        <v>31.785340000000005</v>
      </c>
      <c r="E10" s="108">
        <v>0</v>
      </c>
      <c r="F10" s="108">
        <v>0</v>
      </c>
      <c r="G10" s="107">
        <f>SUM(B10:F10)</f>
        <v>63.57068000000001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63.57068000000001</v>
      </c>
      <c r="H11" s="103"/>
      <c r="I11" s="103"/>
    </row>
    <row r="12" spans="1:10" ht="15.75">
      <c r="A12" s="258" t="s">
        <v>113</v>
      </c>
      <c r="B12" s="428" t="s">
        <v>425</v>
      </c>
      <c r="C12" s="429"/>
      <c r="D12" s="102" t="s">
        <v>425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1.0595113333333335</v>
      </c>
      <c r="C13" s="429"/>
      <c r="D13" s="102">
        <f>D10/30</f>
        <v>1.0595113333333335</v>
      </c>
      <c r="E13" s="102">
        <f>E10/30</f>
        <v>0</v>
      </c>
      <c r="F13" s="102">
        <f>F10/30</f>
        <v>0</v>
      </c>
      <c r="G13" s="107">
        <f>SUM(B13:F13)</f>
        <v>2.119022666666667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4.119022666666667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1271.4136000000003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1986.5837500000005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953.5602000000002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264.45402880000006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3204.5979788000004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1271.4136000000003</v>
      </c>
      <c r="G31" s="276">
        <f>H30</f>
        <v>0.208</v>
      </c>
      <c r="H31" s="286">
        <f>_xlfn.IFERROR(F31*G31,0)</f>
        <v>264.45402880000006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2556.642989829787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0.4680707575757576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5761.240968629787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5761.240968629787</v>
      </c>
      <c r="F54" s="149">
        <f>D54*E54/1</f>
        <v>1725.491670104621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1725.491670104621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1725.491670104621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7486.732638734408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5.888510740119822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3204.5979788000004</v>
      </c>
      <c r="G65" s="202">
        <f>F65/$F$74</f>
        <v>0.42803691990017695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1986.5837500000005</v>
      </c>
      <c r="G66" s="206">
        <f aca="true" t="shared" si="0" ref="G66:G72">F66/$F$74</f>
        <v>0.2653472276707108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953.5602000000002</v>
      </c>
      <c r="G67" s="206">
        <f t="shared" si="0"/>
        <v>0.12736666928194118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264.45402880000006</v>
      </c>
      <c r="G68" s="206">
        <f t="shared" si="0"/>
        <v>0.03532302294752502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2556.642989829787</v>
      </c>
      <c r="G69" s="202">
        <f t="shared" si="0"/>
        <v>0.3414898211540747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2556.642989829787</v>
      </c>
      <c r="G70" s="206">
        <f>F70/$F$74</f>
        <v>0.3414898211540747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5761.240968629787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1725.491670104621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7486.732638734408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63.57068000000001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1271.4136000000003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5.888510740119822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397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63.57068000000001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5.888510740119822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:H1"/>
    <mergeCell ref="A2:H2"/>
    <mergeCell ref="A3:H3"/>
    <mergeCell ref="A4:H4"/>
    <mergeCell ref="A11:F11"/>
    <mergeCell ref="A14:F14"/>
    <mergeCell ref="B7:C7"/>
    <mergeCell ref="B8:C8"/>
    <mergeCell ref="B10:C10"/>
    <mergeCell ref="B12:C12"/>
    <mergeCell ref="A15:F15"/>
    <mergeCell ref="B13:C13"/>
    <mergeCell ref="A16:F16"/>
    <mergeCell ref="B17:G17"/>
    <mergeCell ref="A18:F18"/>
    <mergeCell ref="A19:F19"/>
    <mergeCell ref="A20:F20"/>
    <mergeCell ref="A63:G63"/>
    <mergeCell ref="F85:H86"/>
    <mergeCell ref="A21:F21"/>
    <mergeCell ref="A22:F22"/>
    <mergeCell ref="A23:F23"/>
    <mergeCell ref="A33:H33"/>
    <mergeCell ref="A50:G50"/>
    <mergeCell ref="A52:G5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385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23</v>
      </c>
      <c r="C8" s="431"/>
      <c r="D8" s="104" t="s">
        <v>449</v>
      </c>
      <c r="E8" s="104"/>
      <c r="F8" s="104"/>
      <c r="G8" s="105">
        <f>SUM(B8:F8)</f>
        <v>23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Roteiros!BX25</f>
        <v>31.02581</v>
      </c>
      <c r="C10" s="433"/>
      <c r="D10" s="108">
        <f>Roteiros!BX30</f>
        <v>31.02581</v>
      </c>
      <c r="E10" s="108">
        <v>0</v>
      </c>
      <c r="F10" s="108">
        <v>0</v>
      </c>
      <c r="G10" s="107">
        <f>SUM(B10:F10)</f>
        <v>62.05162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62.05162</v>
      </c>
      <c r="H11" s="103"/>
      <c r="I11" s="103"/>
    </row>
    <row r="12" spans="1:10" ht="15.75">
      <c r="A12" s="258" t="s">
        <v>113</v>
      </c>
      <c r="B12" s="428" t="s">
        <v>419</v>
      </c>
      <c r="C12" s="429"/>
      <c r="D12" s="102" t="s">
        <v>419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1.0341936666666667</v>
      </c>
      <c r="C13" s="429"/>
      <c r="D13" s="102">
        <f>D10/30</f>
        <v>1.0341936666666667</v>
      </c>
      <c r="E13" s="102">
        <f>E10/30</f>
        <v>0</v>
      </c>
      <c r="F13" s="102">
        <f>F10/30</f>
        <v>0</v>
      </c>
      <c r="G13" s="107">
        <f>SUM(B13:F13)</f>
        <v>2.0683873333333334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4.068387333333334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11.602101449275363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1241.0324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1939.113125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930.7743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258.1347392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3128.0221641999997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1241.0324</v>
      </c>
      <c r="G31" s="276">
        <f>H30</f>
        <v>0.208</v>
      </c>
      <c r="H31" s="286">
        <f>_xlfn.IFERROR(F31*G31,0)</f>
        <v>258.1347392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2525.2140610569513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0.4623167424242425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5653.236225256951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5653.236225256951</v>
      </c>
      <c r="F54" s="149">
        <f>D54*E54/1</f>
        <v>1693.1442494644568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1693.1442494644568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1693.1442494644568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7346.380474721408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5.919571861880002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3128.0221641999997</v>
      </c>
      <c r="G65" s="202">
        <f>F65/$F$74</f>
        <v>0.4257909286026493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1939.113125</v>
      </c>
      <c r="G66" s="206">
        <f aca="true" t="shared" si="0" ref="G66:G72">F66/$F$74</f>
        <v>0.26395490019505635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930.7743</v>
      </c>
      <c r="G67" s="206">
        <f t="shared" si="0"/>
        <v>0.12669835209362706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258.1347392</v>
      </c>
      <c r="G68" s="206">
        <f t="shared" si="0"/>
        <v>0.0351376763139659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2525.2140610569513</v>
      </c>
      <c r="G69" s="202">
        <f t="shared" si="0"/>
        <v>0.34373581245160234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2525.2140610569513</v>
      </c>
      <c r="G70" s="206">
        <f>F70/$F$74</f>
        <v>0.34373581245160234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5653.236225256951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1693.1442494644568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7346.380474721408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62.05162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1241.0324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5.919571861880002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398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62.05162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5.919571861880002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451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:H1"/>
    <mergeCell ref="A2:H2"/>
    <mergeCell ref="A3:H3"/>
    <mergeCell ref="A4:H4"/>
    <mergeCell ref="A11:F11"/>
    <mergeCell ref="A14:F14"/>
    <mergeCell ref="B7:C7"/>
    <mergeCell ref="B8:C8"/>
    <mergeCell ref="B10:C10"/>
    <mergeCell ref="B12:C12"/>
    <mergeCell ref="A15:F15"/>
    <mergeCell ref="B13:C13"/>
    <mergeCell ref="A16:F16"/>
    <mergeCell ref="B17:G17"/>
    <mergeCell ref="A18:F18"/>
    <mergeCell ref="A19:F19"/>
    <mergeCell ref="A20:F20"/>
    <mergeCell ref="A63:G63"/>
    <mergeCell ref="F85:H86"/>
    <mergeCell ref="A21:F21"/>
    <mergeCell ref="A22:F22"/>
    <mergeCell ref="A23:F23"/>
    <mergeCell ref="A33:H33"/>
    <mergeCell ref="A50:G50"/>
    <mergeCell ref="A52:G5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3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386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22</v>
      </c>
      <c r="C8" s="431"/>
      <c r="D8" s="104" t="s">
        <v>426</v>
      </c>
      <c r="E8" s="104"/>
      <c r="F8" s="104"/>
      <c r="G8" s="105">
        <f>SUM(B8:F8)</f>
        <v>22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Roteiros!CE25</f>
        <v>36.38283</v>
      </c>
      <c r="C10" s="433"/>
      <c r="D10" s="108">
        <f>Roteiros!CE30</f>
        <v>36.38283</v>
      </c>
      <c r="E10" s="108">
        <v>0</v>
      </c>
      <c r="F10" s="108">
        <v>0</v>
      </c>
      <c r="G10" s="107">
        <f>SUM(B10:F10)</f>
        <v>72.76566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72.76566</v>
      </c>
      <c r="H11" s="103"/>
      <c r="I11" s="103"/>
    </row>
    <row r="12" spans="1:10" ht="15.75">
      <c r="A12" s="258" t="s">
        <v>113</v>
      </c>
      <c r="B12" s="428" t="s">
        <v>431</v>
      </c>
      <c r="C12" s="429"/>
      <c r="D12" s="102" t="s">
        <v>431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1.212761</v>
      </c>
      <c r="C13" s="429"/>
      <c r="D13" s="102">
        <f>D10/30</f>
        <v>1.212761</v>
      </c>
      <c r="E13" s="102">
        <f>E10/30</f>
        <v>0</v>
      </c>
      <c r="F13" s="102">
        <f>F10/30</f>
        <v>0</v>
      </c>
      <c r="G13" s="107">
        <f>SUM(B13:F13)</f>
        <v>2.425522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4.425522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12.129469696969698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1455.3132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2273.926875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1091.4849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302.7051456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3668.1169206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1455.3132</v>
      </c>
      <c r="G31" s="276">
        <f>H30</f>
        <v>0.208</v>
      </c>
      <c r="H31" s="286">
        <f>_xlfn.IFERROR(F31*G31,0)</f>
        <v>302.7051456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2746.8845678370058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0.5029002272727273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6415.001488437006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6415.001488437006</v>
      </c>
      <c r="F54" s="149">
        <f>D54*E54/1</f>
        <v>1921.2929457868831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1921.2929457868831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1921.2929457868831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8336.294434223888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5.728178947475971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3668.1169206</v>
      </c>
      <c r="G65" s="202">
        <f>F65/$F$74</f>
        <v>0.4400176780633952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2273.926875</v>
      </c>
      <c r="G66" s="206">
        <f aca="true" t="shared" si="0" ref="G66:G72">F66/$F$74</f>
        <v>0.27277429953344773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1091.4849</v>
      </c>
      <c r="G67" s="206">
        <f t="shared" si="0"/>
        <v>0.1309316637760549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302.7051456</v>
      </c>
      <c r="G68" s="206">
        <f t="shared" si="0"/>
        <v>0.03631171475389256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2746.8845678370058</v>
      </c>
      <c r="G69" s="202">
        <f t="shared" si="0"/>
        <v>0.3295090629908565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2746.8845678370058</v>
      </c>
      <c r="G70" s="206">
        <f>F70/$F$74</f>
        <v>0.3295090629908565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6415.001488437006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1921.2929457868831</v>
      </c>
      <c r="G72" s="202">
        <f t="shared" si="0"/>
        <v>0.23047325894574838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8336.294434223888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72.76566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1455.3132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5.728178947475971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399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72.76566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5.728178947475971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3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358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22</v>
      </c>
      <c r="C8" s="431"/>
      <c r="D8" s="104" t="s">
        <v>426</v>
      </c>
      <c r="E8" s="104"/>
      <c r="F8" s="104"/>
      <c r="G8" s="105">
        <f>SUM(B8:F8)</f>
        <v>22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Roteiros!CL25</f>
        <v>38.35566</v>
      </c>
      <c r="C10" s="433"/>
      <c r="D10" s="108">
        <f>Roteiros!CL30</f>
        <v>38.35566</v>
      </c>
      <c r="E10" s="108">
        <v>0</v>
      </c>
      <c r="F10" s="108">
        <v>0</v>
      </c>
      <c r="G10" s="107">
        <f>SUM(B10:F10)</f>
        <v>76.71132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76.71132</v>
      </c>
      <c r="H11" s="103"/>
      <c r="I11" s="103"/>
    </row>
    <row r="12" spans="1:10" ht="15.75">
      <c r="A12" s="258" t="s">
        <v>113</v>
      </c>
      <c r="B12" s="428" t="s">
        <v>434</v>
      </c>
      <c r="C12" s="429"/>
      <c r="D12" s="102" t="s">
        <v>434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1.278522</v>
      </c>
      <c r="C13" s="429"/>
      <c r="D13" s="102">
        <f>D10/30</f>
        <v>1.278522</v>
      </c>
      <c r="E13" s="102">
        <f>E10/30</f>
        <v>0</v>
      </c>
      <c r="F13" s="102">
        <f>F10/30</f>
        <v>0</v>
      </c>
      <c r="G13" s="107">
        <f>SUM(B13:F13)</f>
        <v>2.557044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4.557043999999999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12.129469696969698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1534.2264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2397.22875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1150.6698000000001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319.1190912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3867.0176412000005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1534.2264</v>
      </c>
      <c r="G31" s="276">
        <f>H30</f>
        <v>0.208</v>
      </c>
      <c r="H31" s="286">
        <f>_xlfn.IFERROR(F31*G31,0)</f>
        <v>319.1190912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2828.5191754903076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0.517845909090909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6695.536816690308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6695.536816690308</v>
      </c>
      <c r="F54" s="149">
        <f>D54*E54/1</f>
        <v>2005.3132765987473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2005.3132765987473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2005.3132765987473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8700.850093289055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5.671164368758779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3867.0176412000005</v>
      </c>
      <c r="G65" s="202">
        <f>F65/$F$74</f>
        <v>0.4444413591474955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2397.22875</v>
      </c>
      <c r="G66" s="206">
        <f aca="true" t="shared" si="0" ref="G66:G72">F66/$F$74</f>
        <v>0.2755166132386279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1150.6698000000001</v>
      </c>
      <c r="G67" s="206">
        <f t="shared" si="0"/>
        <v>0.13224797435454141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319.1190912</v>
      </c>
      <c r="G68" s="206">
        <f t="shared" si="0"/>
        <v>0.03667677155432615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2828.5191754903076</v>
      </c>
      <c r="G69" s="202">
        <f t="shared" si="0"/>
        <v>0.3250853819067562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2828.5191754903076</v>
      </c>
      <c r="G70" s="206">
        <f>F70/$F$74</f>
        <v>0.3250853819067562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6695.536816690308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2005.3132765987473</v>
      </c>
      <c r="G72" s="202">
        <f t="shared" si="0"/>
        <v>0.23047325894574838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8700.850093289055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76.71132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1534.2264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5.671164368758779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400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76.71132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5.671164368758779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12:C12"/>
    <mergeCell ref="B8:C8"/>
    <mergeCell ref="B10:C10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387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20</v>
      </c>
      <c r="C8" s="431"/>
      <c r="D8" s="104" t="s">
        <v>430</v>
      </c>
      <c r="E8" s="104"/>
      <c r="F8" s="104"/>
      <c r="G8" s="105">
        <f>SUM(B8:F8)</f>
        <v>20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Roteiros!CS25</f>
        <v>52.85685</v>
      </c>
      <c r="C10" s="433"/>
      <c r="D10" s="108">
        <f>Roteiros!CS30</f>
        <v>52.85685</v>
      </c>
      <c r="E10" s="108">
        <v>0</v>
      </c>
      <c r="F10" s="108">
        <v>0</v>
      </c>
      <c r="G10" s="107">
        <f>SUM(B10:F10)</f>
        <v>105.7137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105.7137</v>
      </c>
      <c r="H11" s="103"/>
      <c r="I11" s="103"/>
    </row>
    <row r="12" spans="1:10" ht="15.75">
      <c r="A12" s="258" t="s">
        <v>113</v>
      </c>
      <c r="B12" s="428" t="s">
        <v>433</v>
      </c>
      <c r="C12" s="429"/>
      <c r="D12" s="102" t="s">
        <v>433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1.761895</v>
      </c>
      <c r="C13" s="429"/>
      <c r="D13" s="102">
        <f>D10/30</f>
        <v>1.761895</v>
      </c>
      <c r="E13" s="102">
        <f>E10/30</f>
        <v>0</v>
      </c>
      <c r="F13" s="102">
        <f>F10/30</f>
        <v>0</v>
      </c>
      <c r="G13" s="107">
        <f>SUM(B13:F13)</f>
        <v>3.52379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5.52379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13.342416666666669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2114.274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3303.553125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1585.7055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439.76899199999997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5329.027617000001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2114.274</v>
      </c>
      <c r="G31" s="276">
        <f>H30</f>
        <v>0.208</v>
      </c>
      <c r="H31" s="286">
        <f>_xlfn.IFERROR(F31*G31,0)</f>
        <v>439.76899199999997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3428.5703487571345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0.627703409090909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8757.597965757135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8757.597965757135</v>
      </c>
      <c r="F54" s="149">
        <f>D54*E54/1</f>
        <v>2622.900590744262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2622.900590744262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2622.900590744262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11380.498556501398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5.3826980592399085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5329.027617000001</v>
      </c>
      <c r="G65" s="202">
        <f>F65/$F$74</f>
        <v>0.4682595925426886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3303.553125</v>
      </c>
      <c r="G66" s="206">
        <f aca="true" t="shared" si="0" ref="G66:G72">F66/$F$74</f>
        <v>0.29028193348460657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1585.7055</v>
      </c>
      <c r="G67" s="206">
        <f t="shared" si="0"/>
        <v>0.13933532807261118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439.76899199999997</v>
      </c>
      <c r="G68" s="206">
        <f t="shared" si="0"/>
        <v>0.038642330985470826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3428.5703487571345</v>
      </c>
      <c r="G69" s="202">
        <f t="shared" si="0"/>
        <v>0.30126714851156294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3428.5703487571345</v>
      </c>
      <c r="G70" s="206">
        <f>F70/$F$74</f>
        <v>0.30126714851156294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8757.597965757135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2622.900590744262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11380.498556501398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105.7137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2114.274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5.3826980592399085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401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105.7137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5.3826980592399085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8.140625" style="0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388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/>
      <c r="E8" s="104" t="s">
        <v>455</v>
      </c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Roteiros!CZ25</f>
        <v>54.54583</v>
      </c>
      <c r="C10" s="433"/>
      <c r="D10" s="108"/>
      <c r="E10" s="108">
        <f>Roteiros!CZ30</f>
        <v>54.54583</v>
      </c>
      <c r="F10" s="108">
        <v>0</v>
      </c>
      <c r="G10" s="107">
        <f>SUM(B10:F10)</f>
        <v>109.09166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109.09166</v>
      </c>
      <c r="H11" s="103"/>
      <c r="I11" s="103"/>
    </row>
    <row r="12" spans="1:11" ht="15.75">
      <c r="A12" s="258" t="s">
        <v>113</v>
      </c>
      <c r="B12" s="428" t="s">
        <v>445</v>
      </c>
      <c r="C12" s="429"/>
      <c r="D12" s="102" t="s">
        <v>420</v>
      </c>
      <c r="E12" s="102" t="s">
        <v>445</v>
      </c>
      <c r="F12" s="102" t="s">
        <v>420</v>
      </c>
      <c r="G12" s="109" t="s">
        <v>114</v>
      </c>
      <c r="H12" s="103"/>
      <c r="I12" s="103"/>
      <c r="J12" s="377"/>
      <c r="K12" s="103">
        <v>1</v>
      </c>
    </row>
    <row r="13" spans="1:11" ht="15.75">
      <c r="A13" s="258" t="s">
        <v>115</v>
      </c>
      <c r="B13" s="428">
        <f>B10/30</f>
        <v>1.8181943333333335</v>
      </c>
      <c r="C13" s="429"/>
      <c r="D13" s="102">
        <f>D10/30</f>
        <v>0</v>
      </c>
      <c r="E13" s="102">
        <f>E10/30</f>
        <v>1.8181943333333335</v>
      </c>
      <c r="F13" s="102">
        <f>F10/30</f>
        <v>0</v>
      </c>
      <c r="G13" s="107">
        <f>SUM(B13:F13)</f>
        <v>3.636388666666667</v>
      </c>
      <c r="H13" s="110"/>
      <c r="I13" s="103"/>
      <c r="J13" s="103"/>
      <c r="K13" s="103"/>
    </row>
    <row r="14" spans="1:11" ht="15.75">
      <c r="A14" s="405" t="s">
        <v>236</v>
      </c>
      <c r="B14" s="406"/>
      <c r="C14" s="406"/>
      <c r="D14" s="406"/>
      <c r="E14" s="406"/>
      <c r="F14" s="407"/>
      <c r="G14" s="107">
        <v>3</v>
      </c>
      <c r="H14" s="111"/>
      <c r="I14" s="111"/>
      <c r="J14" s="111"/>
      <c r="K14" s="111"/>
    </row>
    <row r="15" spans="1:11" ht="15.75">
      <c r="A15" s="405" t="s">
        <v>116</v>
      </c>
      <c r="B15" s="406"/>
      <c r="C15" s="406"/>
      <c r="D15" s="406"/>
      <c r="E15" s="406"/>
      <c r="F15" s="407"/>
      <c r="G15" s="108">
        <f>(G14+G13)</f>
        <v>6.636388666666667</v>
      </c>
      <c r="H15" s="111"/>
      <c r="I15" s="111"/>
      <c r="J15" s="111"/>
      <c r="K15" s="111">
        <f>((E13-K12)/100)*60</f>
        <v>0.49091660000000015</v>
      </c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2181.8332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3409.114375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1636.3749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453.82130559999996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5499.3105806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2181.8332</v>
      </c>
      <c r="G31" s="276">
        <f>H30</f>
        <v>0.208</v>
      </c>
      <c r="H31" s="286">
        <f>_xlfn.IFERROR(F31*G31,0)</f>
        <v>453.82130559999996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4119.151054866538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0.7541350757575759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9618.461635466538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9618.461635466538</v>
      </c>
      <c r="F54" s="149">
        <f>D54*E54/1</f>
        <v>2880.729259822228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2880.729259822228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2880.729259822228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12499.190895288766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5.7287563940675055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5499.3105806</v>
      </c>
      <c r="G65" s="202">
        <f>F65/$F$74</f>
        <v>0.43997332520721943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3409.114375</v>
      </c>
      <c r="G66" s="206">
        <f aca="true" t="shared" si="0" ref="G66:G72">F66/$F$74</f>
        <v>0.2727468044579569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1636.3749</v>
      </c>
      <c r="G67" s="206">
        <f t="shared" si="0"/>
        <v>0.1309184661398193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453.82130559999996</v>
      </c>
      <c r="G68" s="206">
        <f t="shared" si="0"/>
        <v>0.03630805460944322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4119.151054866538</v>
      </c>
      <c r="G69" s="202">
        <f t="shared" si="0"/>
        <v>0.3295534158470323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4119.151054866538</v>
      </c>
      <c r="G70" s="206">
        <f>F70/$F$74</f>
        <v>0.3295534158470323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9618.461635466538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2880.729259822228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12499.190895288766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109.09166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2181.8332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5.7287563940675055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402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109.09166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5.7287563940675055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389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 t="s">
        <v>435</v>
      </c>
      <c r="E8" s="104"/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Roteiros!DG25</f>
        <v>49.98301</v>
      </c>
      <c r="C10" s="433"/>
      <c r="D10" s="108">
        <f>Roteiros!DG30</f>
        <v>49.98301</v>
      </c>
      <c r="E10" s="108">
        <v>0</v>
      </c>
      <c r="F10" s="108">
        <v>0</v>
      </c>
      <c r="G10" s="107">
        <f>SUM(B10:F10)</f>
        <v>99.96602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99.96602</v>
      </c>
      <c r="H11" s="103"/>
      <c r="I11" s="103"/>
    </row>
    <row r="12" spans="1:10" ht="15.75">
      <c r="A12" s="258" t="s">
        <v>113</v>
      </c>
      <c r="B12" s="428" t="s">
        <v>424</v>
      </c>
      <c r="C12" s="429"/>
      <c r="D12" s="102" t="s">
        <v>424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1.6661003333333333</v>
      </c>
      <c r="C13" s="429"/>
      <c r="D13" s="102">
        <f>D10/30</f>
        <v>1.6661003333333333</v>
      </c>
      <c r="E13" s="102">
        <f>E10/30</f>
        <v>0</v>
      </c>
      <c r="F13" s="102">
        <f>F10/30</f>
        <v>0</v>
      </c>
      <c r="G13" s="107">
        <f>SUM(B13:F13)</f>
        <v>3.3322006666666666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5.332200666666667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1999.3204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3123.938125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1499.4903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415.8586432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5039.2870682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1999.3204</v>
      </c>
      <c r="G31" s="276">
        <f>H30</f>
        <v>0.208</v>
      </c>
      <c r="H31" s="286">
        <f>_xlfn.IFERROR(F31*G31,0)</f>
        <v>415.8586432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3309.6524486550647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0.605931893939394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8348.939516855065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8348.939516855065</v>
      </c>
      <c r="F54" s="149">
        <f>D54*E54/1</f>
        <v>2500.5073852980922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2500.5073852980922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2500.5073852980922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10849.446902153159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5.4265673986786505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5039.2870682</v>
      </c>
      <c r="G65" s="202">
        <f>F65/$F$74</f>
        <v>0.4644740984169353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3123.938125</v>
      </c>
      <c r="G66" s="206">
        <f aca="true" t="shared" si="0" ref="G66:G72">F66/$F$74</f>
        <v>0.28793524252190494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1499.4903</v>
      </c>
      <c r="G67" s="206">
        <f t="shared" si="0"/>
        <v>0.13820891641051436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415.8586432</v>
      </c>
      <c r="G68" s="206">
        <f t="shared" si="0"/>
        <v>0.03832993948451599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3309.6524486550647</v>
      </c>
      <c r="G69" s="202">
        <f t="shared" si="0"/>
        <v>0.3050526426373162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3309.6524486550647</v>
      </c>
      <c r="G70" s="206">
        <f>F70/$F$74</f>
        <v>0.3050526426373162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8348.939516855065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2500.5073852980922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10849.446902153159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99.96602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1999.3204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5.4265673986786505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403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99.96602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5.4265673986786505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390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19</v>
      </c>
      <c r="C8" s="431"/>
      <c r="D8" s="104" t="s">
        <v>432</v>
      </c>
      <c r="E8" s="104"/>
      <c r="F8" s="104"/>
      <c r="G8" s="105">
        <f>SUM(B8:F8)</f>
        <v>19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Roteiros!DN25</f>
        <v>49.088359999999994</v>
      </c>
      <c r="C10" s="433"/>
      <c r="D10" s="108">
        <f>Roteiros!DN30</f>
        <v>49.088359999999994</v>
      </c>
      <c r="E10" s="108">
        <v>0</v>
      </c>
      <c r="F10" s="108">
        <v>0</v>
      </c>
      <c r="G10" s="107">
        <f>SUM(B10:F10)</f>
        <v>98.17671999999999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98.17671999999999</v>
      </c>
      <c r="H11" s="103"/>
      <c r="I11" s="103"/>
    </row>
    <row r="12" spans="1:10" ht="15.75">
      <c r="A12" s="258" t="s">
        <v>113</v>
      </c>
      <c r="B12" s="428" t="s">
        <v>424</v>
      </c>
      <c r="C12" s="429"/>
      <c r="D12" s="102" t="s">
        <v>424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1.6362786666666664</v>
      </c>
      <c r="C13" s="429"/>
      <c r="D13" s="102">
        <f>D10/30</f>
        <v>1.6362786666666664</v>
      </c>
      <c r="E13" s="102">
        <f>E10/30</f>
        <v>0</v>
      </c>
      <c r="F13" s="102">
        <f>F10/30</f>
        <v>0</v>
      </c>
      <c r="G13" s="107">
        <f>SUM(B13:F13)</f>
        <v>3.272557333333333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5.272557333333333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14.04464912280702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1963.5343999999998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3068.0224999999996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1472.6508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408.41515519999996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4949.0884552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1963.5343999999998</v>
      </c>
      <c r="G31" s="276">
        <f>H30</f>
        <v>0.208</v>
      </c>
      <c r="H31" s="286">
        <f>_xlfn.IFERROR(F31*G31,0)</f>
        <v>408.41515519999996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3272.6323294673866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0.5991542424242424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8221.720784667386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8221.720784667386</v>
      </c>
      <c r="F54" s="149">
        <f>D54*E54/1</f>
        <v>2462.405375007882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2462.405375007882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2462.405375007882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10684.126159675268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5.441272717032749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4949.0884552</v>
      </c>
      <c r="G65" s="202">
        <f>F65/$F$74</f>
        <v>0.4632188333641337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3068.0224999999996</v>
      </c>
      <c r="G66" s="206">
        <f aca="true" t="shared" si="0" ref="G66:G72">F66/$F$74</f>
        <v>0.28715708277383806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1472.6508</v>
      </c>
      <c r="G67" s="206">
        <f t="shared" si="0"/>
        <v>0.13783539973144227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408.41515519999996</v>
      </c>
      <c r="G68" s="206">
        <f t="shared" si="0"/>
        <v>0.03822635085885332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3272.6323294673866</v>
      </c>
      <c r="G69" s="202">
        <f t="shared" si="0"/>
        <v>0.30630790769011795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3272.6323294673866</v>
      </c>
      <c r="G70" s="206">
        <f>F70/$F$74</f>
        <v>0.30630790769011795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8221.720784667386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2462.405375007882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10684.126159675268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98.17671999999999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1963.5343999999998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5.441272717032749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404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98.17671999999999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5.441272717032749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355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/>
      <c r="C8" s="431"/>
      <c r="D8" s="104">
        <v>20</v>
      </c>
      <c r="E8" s="104" t="s">
        <v>430</v>
      </c>
      <c r="F8" s="104"/>
      <c r="G8" s="105">
        <f>SUM(B8:F8)</f>
        <v>20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v>0</v>
      </c>
      <c r="C10" s="433"/>
      <c r="D10" s="108">
        <f>Roteiros!DU25</f>
        <v>44.25878</v>
      </c>
      <c r="E10" s="108">
        <f>Roteiros!DU30</f>
        <v>44.25878</v>
      </c>
      <c r="F10" s="108">
        <v>0</v>
      </c>
      <c r="G10" s="107">
        <f>SUM(B10:F10)</f>
        <v>88.51756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88.51756</v>
      </c>
      <c r="H11" s="103"/>
      <c r="I11" s="103"/>
    </row>
    <row r="12" spans="1:10" ht="15.75">
      <c r="A12" s="258" t="s">
        <v>113</v>
      </c>
      <c r="B12" s="428" t="s">
        <v>420</v>
      </c>
      <c r="C12" s="429"/>
      <c r="D12" s="102" t="s">
        <v>431</v>
      </c>
      <c r="E12" s="102" t="s">
        <v>431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0</v>
      </c>
      <c r="C13" s="429"/>
      <c r="D13" s="102">
        <f>D10/30</f>
        <v>1.4752926666666668</v>
      </c>
      <c r="E13" s="102">
        <f>E10/30</f>
        <v>1.4752926666666668</v>
      </c>
      <c r="F13" s="102">
        <f>F10/30</f>
        <v>0</v>
      </c>
      <c r="G13" s="107">
        <f>SUM(B13:F13)</f>
        <v>2.9505853333333336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4.950585333333334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13.342416666666669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1770.3512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2766.17375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1327.7634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368.2330496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4462.1701996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1770.3512</v>
      </c>
      <c r="G31" s="276">
        <f>H30</f>
        <v>0.208</v>
      </c>
      <c r="H31" s="286">
        <f>_xlfn.IFERROR(F31*G31,0)</f>
        <v>368.2330496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3072.7869964025826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0.5625665151515151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7534.957196002582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7534.957196002582</v>
      </c>
      <c r="F54" s="149">
        <f>D54*E54/1</f>
        <v>2256.7196802027734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2256.7196802027734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2256.7196802027734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9791.676876205356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5.5309233988179045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4462.1701996</v>
      </c>
      <c r="G65" s="202">
        <f>F65/$F$74</f>
        <v>0.45571052394952594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2766.17375</v>
      </c>
      <c r="G66" s="206">
        <f aca="true" t="shared" si="0" ref="G66:G72">F66/$F$74</f>
        <v>0.28250255650511175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1327.7634</v>
      </c>
      <c r="G67" s="206">
        <f t="shared" si="0"/>
        <v>0.13560122712245365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368.2330496</v>
      </c>
      <c r="G68" s="206">
        <f t="shared" si="0"/>
        <v>0.03760674032196048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3072.7869964025826</v>
      </c>
      <c r="G69" s="202">
        <f t="shared" si="0"/>
        <v>0.31381621710472574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3072.7869964025826</v>
      </c>
      <c r="G70" s="206">
        <f>F70/$F$74</f>
        <v>0.31381621710472574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7534.957196002582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2256.7196802027734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9791.676876205356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88.51756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1770.3512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5.5309233988179045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405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88.51756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5.5309233988179045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12:C12"/>
    <mergeCell ref="B8:C8"/>
    <mergeCell ref="B10:C10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zoomScalePageLayoutView="0" workbookViewId="0" topLeftCell="A1">
      <selection activeCell="I15" sqref="I15:J15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8" width="15.28125" style="0" bestFit="1" customWidth="1"/>
    <col min="9" max="9" width="12.140625" style="0" bestFit="1" customWidth="1"/>
  </cols>
  <sheetData>
    <row r="1" spans="1:9" ht="16.5" thickBot="1">
      <c r="A1" s="408" t="s">
        <v>485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378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 t="s">
        <v>435</v>
      </c>
      <c r="E8" s="104"/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Roteiros!F25</f>
        <v>43.64894999999999</v>
      </c>
      <c r="C10" s="433"/>
      <c r="D10" s="108">
        <f>Roteiros!F30</f>
        <v>43.64894999999999</v>
      </c>
      <c r="E10" s="108">
        <v>0</v>
      </c>
      <c r="F10" s="108">
        <v>0</v>
      </c>
      <c r="G10" s="107">
        <f>SUM(B10:F10)</f>
        <v>87.29789999999998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87.29789999999998</v>
      </c>
      <c r="H11" s="103"/>
      <c r="I11" s="103"/>
    </row>
    <row r="12" spans="1:10" ht="15.75">
      <c r="A12" s="258" t="s">
        <v>113</v>
      </c>
      <c r="B12" s="428" t="s">
        <v>424</v>
      </c>
      <c r="C12" s="429"/>
      <c r="D12" s="102" t="s">
        <v>424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1.4549649999999998</v>
      </c>
      <c r="C13" s="429"/>
      <c r="D13" s="102">
        <f>D10/30</f>
        <v>1.4549649999999998</v>
      </c>
      <c r="E13" s="102">
        <f>E10/30</f>
        <v>0</v>
      </c>
      <c r="F13" s="102">
        <f>F10/30</f>
        <v>0</v>
      </c>
      <c r="G13" s="107">
        <f>SUM(B13:F13)</f>
        <v>2.9099299999999997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4.909929999999999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1745.9579999999996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2728.0593749999994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1309.4684999999997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363.1592639999999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4400.687138999999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1745.9579999999996</v>
      </c>
      <c r="G31" s="276">
        <f>H30</f>
        <v>0.208</v>
      </c>
      <c r="H31" s="286">
        <f>_xlfn.IFERROR(F31*G31,0)</f>
        <v>363.1592639999999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3047.552570331804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0.5579465909090908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7448.239709331803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7448.239709331803</v>
      </c>
      <c r="F54" s="149">
        <f>D54*E54/1</f>
        <v>2230.747792944875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2230.747792944875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2230.747792944875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9678.98750227668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5.543654258737427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4400.687138999999</v>
      </c>
      <c r="G65" s="202">
        <f>F65/$F$74</f>
        <v>0.45466399641128524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2728.0593749999994</v>
      </c>
      <c r="G66" s="206">
        <f aca="true" t="shared" si="0" ref="G66:G72">F66/$F$74</f>
        <v>0.2818537966247305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1309.4684999999997</v>
      </c>
      <c r="G67" s="206">
        <f t="shared" si="0"/>
        <v>0.13528982237987064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363.1592639999999</v>
      </c>
      <c r="G68" s="206">
        <f t="shared" si="0"/>
        <v>0.037520377406684124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3047.552570331804</v>
      </c>
      <c r="G69" s="202">
        <f t="shared" si="0"/>
        <v>0.31486274464296626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3047.552570331804</v>
      </c>
      <c r="G70" s="206">
        <f>F70/$F$74</f>
        <v>0.31486274464296626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7448.239709331803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2230.747792944875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9678.98750227668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87.29789999999998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1745.9579999999996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5.543654258737427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285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87.29789999999998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5.543654258737427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452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8:F18"/>
    <mergeCell ref="B7:C7"/>
    <mergeCell ref="B8:C8"/>
    <mergeCell ref="B10:C10"/>
    <mergeCell ref="B12:C12"/>
    <mergeCell ref="B13:C13"/>
    <mergeCell ref="A16:F16"/>
    <mergeCell ref="F85:H86"/>
    <mergeCell ref="A21:F21"/>
    <mergeCell ref="A22:F22"/>
    <mergeCell ref="A33:H33"/>
    <mergeCell ref="A50:G50"/>
    <mergeCell ref="A52:G52"/>
    <mergeCell ref="A63:G63"/>
    <mergeCell ref="A23:F23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391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0</v>
      </c>
      <c r="C8" s="431"/>
      <c r="D8" s="104">
        <v>24</v>
      </c>
      <c r="E8" s="104" t="s">
        <v>435</v>
      </c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v>0</v>
      </c>
      <c r="C10" s="433"/>
      <c r="D10" s="108">
        <f>Roteiros!EB25</f>
        <v>61.936910000000005</v>
      </c>
      <c r="E10" s="108">
        <f>Roteiros!EB38</f>
        <v>61.936910000000005</v>
      </c>
      <c r="F10" s="108">
        <v>0</v>
      </c>
      <c r="G10" s="107">
        <f>SUM(B10:F10)</f>
        <v>123.87382000000001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123.87382000000001</v>
      </c>
      <c r="H11" s="103"/>
      <c r="I11" s="103"/>
    </row>
    <row r="12" spans="1:10" ht="15.75">
      <c r="A12" s="258" t="s">
        <v>113</v>
      </c>
      <c r="B12" s="428" t="s">
        <v>420</v>
      </c>
      <c r="C12" s="429"/>
      <c r="D12" s="102" t="s">
        <v>424</v>
      </c>
      <c r="E12" s="102" t="s">
        <v>424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0</v>
      </c>
      <c r="C13" s="429"/>
      <c r="D13" s="102">
        <f>D10/30</f>
        <v>2.064563666666667</v>
      </c>
      <c r="E13" s="102">
        <f>E10/30</f>
        <v>2.064563666666667</v>
      </c>
      <c r="F13" s="102">
        <f>F10/30</f>
        <v>0</v>
      </c>
      <c r="G13" s="107">
        <f>SUM(B13:F13)</f>
        <v>4.129127333333334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6.129127333333334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2477.4764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3871.056875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1858.1073000000001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515.3150912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6244.4792662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2477.4764</v>
      </c>
      <c r="G31" s="276">
        <f>H30</f>
        <v>0.208</v>
      </c>
      <c r="H31" s="286">
        <f>_xlfn.IFERROR(F31*G31,0)</f>
        <v>515.3150912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3804.298179116794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0.6964917424242425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10048.777445316795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10048.777445316795</v>
      </c>
      <c r="F54" s="149">
        <f>D54*E54/1</f>
        <v>3009.60884487238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3009.60884487238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3009.60884487238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13058.386290189175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5.27084184946794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6244.4792662</v>
      </c>
      <c r="G65" s="202">
        <f>F65/$F$74</f>
        <v>0.4781968558313752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3871.056875</v>
      </c>
      <c r="G66" s="206">
        <f aca="true" t="shared" si="0" ref="G66:G72">F66/$F$74</f>
        <v>0.2964422087825923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1858.1073000000001</v>
      </c>
      <c r="G67" s="206">
        <f t="shared" si="0"/>
        <v>0.1422922602156443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515.3150912</v>
      </c>
      <c r="G68" s="206">
        <f t="shared" si="0"/>
        <v>0.03946238683313868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3804.298179116794</v>
      </c>
      <c r="G69" s="202">
        <f t="shared" si="0"/>
        <v>0.2913298852228763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3804.298179116794</v>
      </c>
      <c r="G70" s="206">
        <f>F70/$F$74</f>
        <v>0.2913298852228763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10048.777445316795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3009.60884487238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13058.386290189175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123.87382000000001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2477.4764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5.27084184946794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406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123.87382000000001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5.27084184946794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1">
      <selection activeCell="B17" sqref="B17:G17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3.7109375" style="0" customWidth="1"/>
    <col min="5" max="5" width="19.421875" style="0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342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14</v>
      </c>
      <c r="C8" s="431"/>
      <c r="D8" s="104" t="s">
        <v>429</v>
      </c>
      <c r="E8" s="104" t="s">
        <v>437</v>
      </c>
      <c r="F8" s="104"/>
      <c r="G8" s="105">
        <f>SUM(B8:F8)</f>
        <v>14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Roteiros!EI25</f>
        <v>25.293029999999998</v>
      </c>
      <c r="C10" s="433"/>
      <c r="D10" s="108">
        <f>Roteiros!EI32</f>
        <v>50.586059999999996</v>
      </c>
      <c r="E10" s="108">
        <f>Roteiros!EI37</f>
        <v>25.293029999999998</v>
      </c>
      <c r="F10" s="108">
        <v>0</v>
      </c>
      <c r="G10" s="107">
        <f>SUM(B10:F10)</f>
        <v>101.17211999999999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101.17211999999999</v>
      </c>
      <c r="H11" s="103"/>
      <c r="I11" s="103"/>
    </row>
    <row r="12" spans="1:11" ht="15.75">
      <c r="A12" s="258" t="s">
        <v>113</v>
      </c>
      <c r="B12" s="428" t="s">
        <v>425</v>
      </c>
      <c r="C12" s="429"/>
      <c r="D12" s="102" t="s">
        <v>424</v>
      </c>
      <c r="E12" s="102" t="s">
        <v>425</v>
      </c>
      <c r="F12" s="102" t="s">
        <v>420</v>
      </c>
      <c r="G12" s="109" t="s">
        <v>114</v>
      </c>
      <c r="H12" s="103"/>
      <c r="I12" s="103"/>
      <c r="J12" s="103"/>
      <c r="K12" s="103">
        <v>0</v>
      </c>
    </row>
    <row r="13" spans="1:11" ht="15.75">
      <c r="A13" s="258" t="s">
        <v>115</v>
      </c>
      <c r="B13" s="428">
        <f>B10/30</f>
        <v>0.843101</v>
      </c>
      <c r="C13" s="429"/>
      <c r="D13" s="102">
        <f>D10/30</f>
        <v>1.686202</v>
      </c>
      <c r="E13" s="102">
        <f>E10/30</f>
        <v>0.843101</v>
      </c>
      <c r="F13" s="102">
        <f>F10/30</f>
        <v>0</v>
      </c>
      <c r="G13" s="107">
        <f>SUM(B13:F13)</f>
        <v>3.372404</v>
      </c>
      <c r="H13" s="110"/>
      <c r="I13" s="103"/>
      <c r="J13" s="103"/>
      <c r="K13" s="103"/>
    </row>
    <row r="14" spans="1:11" ht="15.75">
      <c r="A14" s="405" t="s">
        <v>236</v>
      </c>
      <c r="B14" s="406"/>
      <c r="C14" s="406"/>
      <c r="D14" s="406"/>
      <c r="E14" s="406"/>
      <c r="F14" s="407"/>
      <c r="G14" s="107">
        <v>4</v>
      </c>
      <c r="H14" s="111"/>
      <c r="I14" s="111"/>
      <c r="J14" s="111"/>
      <c r="K14" s="111"/>
    </row>
    <row r="15" spans="1:11" ht="15.75">
      <c r="A15" s="405" t="s">
        <v>116</v>
      </c>
      <c r="B15" s="406"/>
      <c r="C15" s="406"/>
      <c r="D15" s="406"/>
      <c r="E15" s="406"/>
      <c r="F15" s="407"/>
      <c r="G15" s="108">
        <f>(G14+G13)</f>
        <v>7.3724039999999995</v>
      </c>
      <c r="H15" s="111"/>
      <c r="I15" s="111"/>
      <c r="J15" s="111"/>
      <c r="K15" s="111">
        <f>((E13-K12)/100)*60</f>
        <v>0.5058606</v>
      </c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19.06059523809524</v>
      </c>
      <c r="H16" s="103"/>
      <c r="I16" s="103"/>
    </row>
    <row r="17" spans="1:9" ht="15.75">
      <c r="A17" s="109" t="s">
        <v>118</v>
      </c>
      <c r="B17" s="414" t="s">
        <v>484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110000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2023.4424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3161.62875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1517.5818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262.02230118399996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4941.232851184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2023.4424</v>
      </c>
      <c r="G31" s="276">
        <f>H30</f>
        <v>0.12949333333333332</v>
      </c>
      <c r="H31" s="286">
        <f>_xlfn.IFERROR(F31*G31,0)</f>
        <v>262.02230118399996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11825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5186.866666666667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54311.558842454404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4550.076746094844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0.8377731818181818</v>
      </c>
      <c r="C44" s="121"/>
      <c r="D44" s="145" t="s">
        <v>138</v>
      </c>
      <c r="E44" s="146" t="s">
        <v>2</v>
      </c>
      <c r="F44" s="147">
        <v>1</v>
      </c>
      <c r="G44" s="148">
        <f>G18</f>
        <v>110000</v>
      </c>
      <c r="H44" s="149">
        <f>F44*G44</f>
        <v>110000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110000</v>
      </c>
      <c r="H47" s="154">
        <f>F47*G47/100</f>
        <v>77803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77803</v>
      </c>
      <c r="H48" s="163">
        <f>_xlfn.IFERROR(G48/F48,0)*12</f>
        <v>5186.866666666667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9491.309597278843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9491.309597278843</v>
      </c>
      <c r="F54" s="149">
        <f>D54*E54/1</f>
        <v>2842.6472243850135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2842.6472243850135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2842.6472243850135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12333.956821663856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6.095531467396283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4941.232851184</v>
      </c>
      <c r="G65" s="202">
        <f>F65/$F$74</f>
        <v>0.40062024884869224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3161.62875</v>
      </c>
      <c r="G66" s="206">
        <f aca="true" t="shared" si="0" ref="G66:G72">F66/$F$74</f>
        <v>0.2563353184800184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1517.5818</v>
      </c>
      <c r="G67" s="206">
        <f t="shared" si="0"/>
        <v>0.12304095287040882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262.02230118399996</v>
      </c>
      <c r="G68" s="206">
        <f t="shared" si="0"/>
        <v>0.021243977498265072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4550.076746094844</v>
      </c>
      <c r="G69" s="202">
        <f t="shared" si="0"/>
        <v>0.3689064922055594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4550.076746094844</v>
      </c>
      <c r="G70" s="206">
        <f>F70/$F$74</f>
        <v>0.3689064922055594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9491.309597278843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2842.6472243850135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12333.956821663856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101.17211999999999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2023.4424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6.095531467396283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407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101.17211999999999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6.095531467396283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439</v>
      </c>
      <c r="B94" s="246" t="str">
        <f>B17</f>
        <v>Veículo no mínimo de 15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1">
      <selection activeCell="B17" sqref="B17:G17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343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15</v>
      </c>
      <c r="C8" s="431"/>
      <c r="D8" s="104" t="s">
        <v>428</v>
      </c>
      <c r="E8" s="104" t="s">
        <v>427</v>
      </c>
      <c r="F8" s="104"/>
      <c r="G8" s="105">
        <f>SUM(B8:F8)</f>
        <v>15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Roteiros!EP25</f>
        <v>21.941059999999997</v>
      </c>
      <c r="C10" s="433"/>
      <c r="D10" s="108">
        <f>Roteiros!EP32</f>
        <v>43.88211999999999</v>
      </c>
      <c r="E10" s="108">
        <f>Roteiros!EP37</f>
        <v>21.941059999999997</v>
      </c>
      <c r="F10" s="108">
        <v>0</v>
      </c>
      <c r="G10" s="107">
        <f>SUM(B10:F10)</f>
        <v>87.76423999999999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87.76423999999999</v>
      </c>
      <c r="H11" s="103"/>
      <c r="I11" s="103"/>
    </row>
    <row r="12" spans="1:11" ht="15.75">
      <c r="A12" s="258" t="s">
        <v>113</v>
      </c>
      <c r="B12" s="428" t="s">
        <v>425</v>
      </c>
      <c r="C12" s="429"/>
      <c r="D12" s="102" t="s">
        <v>424</v>
      </c>
      <c r="E12" s="102" t="s">
        <v>425</v>
      </c>
      <c r="F12" s="102" t="s">
        <v>420</v>
      </c>
      <c r="G12" s="109" t="s">
        <v>114</v>
      </c>
      <c r="H12" s="103"/>
      <c r="I12" s="103"/>
      <c r="J12" s="103"/>
      <c r="K12" s="103">
        <v>0</v>
      </c>
    </row>
    <row r="13" spans="1:11" ht="15.75">
      <c r="A13" s="258" t="s">
        <v>115</v>
      </c>
      <c r="B13" s="428">
        <f>B10/30</f>
        <v>0.7313686666666666</v>
      </c>
      <c r="C13" s="429"/>
      <c r="D13" s="102">
        <f>D10/30</f>
        <v>1.4627373333333331</v>
      </c>
      <c r="E13" s="102">
        <f>E10/30</f>
        <v>0.7313686666666666</v>
      </c>
      <c r="F13" s="102">
        <f>F10/30</f>
        <v>0</v>
      </c>
      <c r="G13" s="107">
        <f>SUM(B13:F13)</f>
        <v>2.9254746666666662</v>
      </c>
      <c r="H13" s="110"/>
      <c r="I13" s="103"/>
      <c r="J13" s="103"/>
      <c r="K13" s="103"/>
    </row>
    <row r="14" spans="1:11" ht="15.75">
      <c r="A14" s="405" t="s">
        <v>236</v>
      </c>
      <c r="B14" s="406"/>
      <c r="C14" s="406"/>
      <c r="D14" s="406"/>
      <c r="E14" s="406"/>
      <c r="F14" s="407"/>
      <c r="G14" s="107">
        <v>4</v>
      </c>
      <c r="H14" s="111"/>
      <c r="I14" s="111"/>
      <c r="J14" s="111"/>
      <c r="K14" s="111"/>
    </row>
    <row r="15" spans="1:11" ht="15.75">
      <c r="A15" s="405" t="s">
        <v>116</v>
      </c>
      <c r="B15" s="406"/>
      <c r="C15" s="406"/>
      <c r="D15" s="406"/>
      <c r="E15" s="406"/>
      <c r="F15" s="407"/>
      <c r="G15" s="108">
        <f>(G14+G13)</f>
        <v>6.925474666666666</v>
      </c>
      <c r="H15" s="111"/>
      <c r="I15" s="111"/>
      <c r="J15" s="111"/>
      <c r="K15" s="111">
        <f>((E13-K12)/100)*60</f>
        <v>0.4388211999999999</v>
      </c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17.78988888888889</v>
      </c>
      <c r="H16" s="103"/>
      <c r="I16" s="103"/>
    </row>
    <row r="17" spans="1:9" ht="15.75">
      <c r="A17" s="109" t="s">
        <v>118</v>
      </c>
      <c r="B17" s="414" t="s">
        <v>484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110000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1755.2847999999997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2742.6324999999997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1316.4635999999998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227.29767970133327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4286.393779701333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1755.2847999999997</v>
      </c>
      <c r="G31" s="276">
        <f>H30</f>
        <v>0.12949333333333332</v>
      </c>
      <c r="H31" s="286">
        <f>_xlfn.IFERROR(F31*G31,0)</f>
        <v>227.29767970133327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11825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5186.866666666667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54311.558842454404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4274.242328074931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0.7869857575757575</v>
      </c>
      <c r="C44" s="121"/>
      <c r="D44" s="145" t="s">
        <v>138</v>
      </c>
      <c r="E44" s="146" t="s">
        <v>2</v>
      </c>
      <c r="F44" s="147">
        <v>1</v>
      </c>
      <c r="G44" s="148">
        <f>G18</f>
        <v>110000</v>
      </c>
      <c r="H44" s="149">
        <f>F44*G44</f>
        <v>110000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110000</v>
      </c>
      <c r="H47" s="154">
        <f>F47*G47/100</f>
        <v>77803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77803</v>
      </c>
      <c r="H48" s="163">
        <f>_xlfn.IFERROR(G48/F48,0)*12</f>
        <v>5186.866666666667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8560.636107776263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8560.636107776263</v>
      </c>
      <c r="F54" s="149">
        <f>D54*E54/1</f>
        <v>2563.910514278991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2563.910514278991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2563.910514278991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11124.546622055253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6.337744519895151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4286.393779701333</v>
      </c>
      <c r="G65" s="202">
        <f>F65/$F$74</f>
        <v>0.38530952544198377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2742.6324999999997</v>
      </c>
      <c r="G66" s="206">
        <f aca="true" t="shared" si="0" ref="G66:G72">F66/$F$74</f>
        <v>0.24653881125928528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1316.4635999999998</v>
      </c>
      <c r="G67" s="206">
        <f t="shared" si="0"/>
        <v>0.11833862940445693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227.29767970133327</v>
      </c>
      <c r="G68" s="206">
        <f t="shared" si="0"/>
        <v>0.02043208477824152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4274.242328074931</v>
      </c>
      <c r="G69" s="202">
        <f t="shared" si="0"/>
        <v>0.38421721561226796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4274.242328074931</v>
      </c>
      <c r="G70" s="206">
        <f>F70/$F$74</f>
        <v>0.38421721561226796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8560.636107776263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2563.910514278991</v>
      </c>
      <c r="G72" s="202">
        <f t="shared" si="0"/>
        <v>0.23047325894574838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11124.546622055253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87.76423999999999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1755.2847999999997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6.337744519895151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408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87.76423999999999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6.337744519895151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439</v>
      </c>
      <c r="B94" s="246" t="str">
        <f>B17</f>
        <v>Veículo no mínimo de 15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344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15</v>
      </c>
      <c r="C8" s="431"/>
      <c r="D8" s="104" t="s">
        <v>427</v>
      </c>
      <c r="E8" s="104"/>
      <c r="F8" s="104"/>
      <c r="G8" s="105">
        <f>SUM(B8:F8)</f>
        <v>15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Roteiros!EW25</f>
        <v>32.89824</v>
      </c>
      <c r="C10" s="433"/>
      <c r="D10" s="108">
        <f>Roteiros!EW30</f>
        <v>32.89824</v>
      </c>
      <c r="E10" s="108">
        <v>0</v>
      </c>
      <c r="F10" s="108">
        <v>0</v>
      </c>
      <c r="G10" s="107">
        <f>SUM(B10:F10)</f>
        <v>65.79648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65.79648</v>
      </c>
      <c r="H11" s="103"/>
      <c r="I11" s="103"/>
    </row>
    <row r="12" spans="1:10" ht="15.75">
      <c r="A12" s="258" t="s">
        <v>113</v>
      </c>
      <c r="B12" s="428" t="s">
        <v>423</v>
      </c>
      <c r="C12" s="429"/>
      <c r="D12" s="102" t="s">
        <v>423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1.096608</v>
      </c>
      <c r="C13" s="429"/>
      <c r="D13" s="102">
        <f>D10/30</f>
        <v>1.096608</v>
      </c>
      <c r="E13" s="102">
        <f>E10/30</f>
        <v>0</v>
      </c>
      <c r="F13" s="102">
        <f>F10/30</f>
        <v>0</v>
      </c>
      <c r="G13" s="107">
        <f>SUM(B13:F13)</f>
        <v>2.193216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4.193216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17.78988888888889</v>
      </c>
      <c r="H16" s="103"/>
      <c r="I16" s="103"/>
    </row>
    <row r="17" spans="1:9" ht="15.75">
      <c r="A17" s="109" t="s">
        <v>118</v>
      </c>
      <c r="B17" s="414" t="s">
        <v>252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110000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1315.9296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2056.14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986.9472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170.40411033599997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3213.491310336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1315.9296</v>
      </c>
      <c r="G31" s="276">
        <f>H30</f>
        <v>0.12949333333333332</v>
      </c>
      <c r="H31" s="286">
        <f>_xlfn.IFERROR(F31*G31,0)</f>
        <v>170.40411033599997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11825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5186.866666666667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54311.558842454404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2587.955653671833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0.47650181818181814</v>
      </c>
      <c r="C44" s="121"/>
      <c r="D44" s="145" t="s">
        <v>138</v>
      </c>
      <c r="E44" s="146" t="s">
        <v>2</v>
      </c>
      <c r="F44" s="147">
        <v>1</v>
      </c>
      <c r="G44" s="148">
        <f>G18</f>
        <v>110000</v>
      </c>
      <c r="H44" s="149">
        <f>F44*G44</f>
        <v>110000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110000</v>
      </c>
      <c r="H47" s="154">
        <f>F47*G47/100</f>
        <v>77803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77803</v>
      </c>
      <c r="H48" s="163">
        <f>_xlfn.IFERROR(G48/F48,0)*12</f>
        <v>5186.866666666667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5801.446964007833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5801.446964007833</v>
      </c>
      <c r="F54" s="149">
        <f>D54*E54/1</f>
        <v>1737.533365720346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1737.533365720346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1737.533365720346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7538.98032972818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5.729014933419068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3213.491310336</v>
      </c>
      <c r="G65" s="202">
        <f>F65/$F$74</f>
        <v>0.4262501253205768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2056.14</v>
      </c>
      <c r="G66" s="206">
        <f aca="true" t="shared" si="0" ref="G66:G72">F66/$F$74</f>
        <v>0.2727344959227576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986.9472</v>
      </c>
      <c r="G67" s="206">
        <f t="shared" si="0"/>
        <v>0.13091255804292365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170.40411033599997</v>
      </c>
      <c r="G68" s="206">
        <f t="shared" si="0"/>
        <v>0.022603071354895542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2587.955653671833</v>
      </c>
      <c r="G69" s="202">
        <f t="shared" si="0"/>
        <v>0.34327661573367474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2587.955653671833</v>
      </c>
      <c r="G70" s="206">
        <f>F70/$F$74</f>
        <v>0.34327661573367474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5801.446964007833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1737.533365720346</v>
      </c>
      <c r="G72" s="202">
        <f t="shared" si="0"/>
        <v>0.23047325894574833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7538.98032972818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65.79648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1315.9296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5.729014933419068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409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65.79648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5.729014933419068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239</v>
      </c>
      <c r="B94" s="246" t="str">
        <f>B17</f>
        <v>Veículo no mínimo de 20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392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22</v>
      </c>
      <c r="C8" s="431"/>
      <c r="D8" s="104" t="s">
        <v>426</v>
      </c>
      <c r="E8" s="104"/>
      <c r="F8" s="104"/>
      <c r="G8" s="105">
        <f>SUM(B8:F8)</f>
        <v>22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Roteiros!FD25</f>
        <v>58.120110000000004</v>
      </c>
      <c r="C10" s="433"/>
      <c r="D10" s="108">
        <f>Roteiros!FD30</f>
        <v>58.120110000000004</v>
      </c>
      <c r="E10" s="108">
        <v>0</v>
      </c>
      <c r="F10" s="108">
        <v>0</v>
      </c>
      <c r="G10" s="107">
        <f>SUM(B10:F10)</f>
        <v>116.24022000000001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116.24022000000001</v>
      </c>
      <c r="H11" s="103"/>
      <c r="I11" s="103"/>
    </row>
    <row r="12" spans="1:10" ht="15.75">
      <c r="A12" s="258" t="s">
        <v>113</v>
      </c>
      <c r="B12" s="428" t="s">
        <v>422</v>
      </c>
      <c r="C12" s="429"/>
      <c r="D12" s="102" t="s">
        <v>422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1.937337</v>
      </c>
      <c r="C13" s="429"/>
      <c r="D13" s="102">
        <f>D10/30</f>
        <v>1.937337</v>
      </c>
      <c r="E13" s="102">
        <f>E10/30</f>
        <v>0</v>
      </c>
      <c r="F13" s="102">
        <f>F10/30</f>
        <v>0</v>
      </c>
      <c r="G13" s="107">
        <f>SUM(B13:F13)</f>
        <v>3.874674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5.874674000000001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12.129469696969698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2324.8044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3632.506875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1743.6033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483.55931519999996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5859.6694902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2324.8044</v>
      </c>
      <c r="G31" s="276">
        <f>H30</f>
        <v>0.208</v>
      </c>
      <c r="H31" s="286">
        <f>_xlfn.IFERROR(F31*G31,0)</f>
        <v>483.55931519999996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3646.361118908299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0.6675765909090909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9506.030609108298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9506.030609108298</v>
      </c>
      <c r="F54" s="149">
        <f>D54*E54/1</f>
        <v>2847.056167427935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2847.056167427935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2847.056167427935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12353.086776536235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5.313602631058439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5859.6694902</v>
      </c>
      <c r="G65" s="202">
        <f>F65/$F$74</f>
        <v>0.4743486058342927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3632.506875</v>
      </c>
      <c r="G66" s="206">
        <f aca="true" t="shared" si="0" ref="G66:G72">F66/$F$74</f>
        <v>0.294056614408285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1743.6033</v>
      </c>
      <c r="G67" s="206">
        <f t="shared" si="0"/>
        <v>0.1411471749159768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483.55931519999996</v>
      </c>
      <c r="G68" s="206">
        <f t="shared" si="0"/>
        <v>0.0391448165100309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3646.361118908299</v>
      </c>
      <c r="G69" s="202">
        <f t="shared" si="0"/>
        <v>0.2951781352199589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3646.361118908299</v>
      </c>
      <c r="G70" s="206">
        <f>F70/$F$74</f>
        <v>0.2951781352199589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9506.030609108298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2847.056167427935</v>
      </c>
      <c r="G72" s="202">
        <f t="shared" si="0"/>
        <v>0.23047325894574833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12353.086776536235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116.24022000000001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2324.8044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5.313602631058439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410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116.24022000000001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5.313602631058439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88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393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 t="s">
        <v>435</v>
      </c>
      <c r="E8" s="104"/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Roteiros!FK25</f>
        <v>43.20063</v>
      </c>
      <c r="C10" s="433"/>
      <c r="D10" s="108">
        <f>Roteiros!FK30</f>
        <v>43.20063</v>
      </c>
      <c r="E10" s="108">
        <v>0</v>
      </c>
      <c r="F10" s="108">
        <v>0</v>
      </c>
      <c r="G10" s="107">
        <f>SUM(B10:F10)</f>
        <v>86.40126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86.40126</v>
      </c>
      <c r="H11" s="103"/>
      <c r="I11" s="103"/>
    </row>
    <row r="12" spans="1:10" ht="15.75">
      <c r="A12" s="258" t="s">
        <v>113</v>
      </c>
      <c r="B12" s="428" t="s">
        <v>418</v>
      </c>
      <c r="C12" s="429"/>
      <c r="D12" s="102" t="s">
        <v>418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1.440021</v>
      </c>
      <c r="C13" s="429"/>
      <c r="D13" s="102">
        <f>D10/30</f>
        <v>1.440021</v>
      </c>
      <c r="E13" s="102">
        <f>E10/30</f>
        <v>0</v>
      </c>
      <c r="F13" s="102">
        <f>F10/30</f>
        <v>0</v>
      </c>
      <c r="G13" s="107">
        <f>SUM(B13:F13)</f>
        <v>2.880042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4.8800419999999995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1728.0251999999998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2700.039375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1296.0188999999998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359.42924159999995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4355.487516599999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1728.0251999999998</v>
      </c>
      <c r="G31" s="276">
        <f>H30</f>
        <v>0.208</v>
      </c>
      <c r="H31" s="286">
        <f>_xlfn.IFERROR(F31*G31,0)</f>
        <v>359.42924159999995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3029.001338191615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0.5545502272727272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7384.488854791614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7384.488854791614</v>
      </c>
      <c r="F54" s="149">
        <f>D54*E54/1</f>
        <v>2211.6544120100884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2211.6544120100884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2211.6544120100884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9596.143266801702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5.55324266498064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4355.487516599999</v>
      </c>
      <c r="G65" s="202">
        <f>F65/$F$74</f>
        <v>0.45387895902596703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2700.039375</v>
      </c>
      <c r="G66" s="206">
        <f aca="true" t="shared" si="0" ref="G66:G72">F66/$F$74</f>
        <v>0.2813671388526378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1296.0188999999998</v>
      </c>
      <c r="G67" s="206">
        <f t="shared" si="0"/>
        <v>0.13505622664926614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359.42924159999995</v>
      </c>
      <c r="G68" s="206">
        <f t="shared" si="0"/>
        <v>0.03745559352406314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3029.001338191615</v>
      </c>
      <c r="G69" s="202">
        <f t="shared" si="0"/>
        <v>0.31564778202828464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3029.001338191615</v>
      </c>
      <c r="G70" s="206">
        <f>F70/$F$74</f>
        <v>0.31564778202828464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7384.488854791614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2211.6544120100884</v>
      </c>
      <c r="G72" s="202">
        <f t="shared" si="0"/>
        <v>0.23047325894574838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9596.143266801702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86.40126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1728.0251999999998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5.55324266498064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411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86.40126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5.55324266498064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394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 t="s">
        <v>435</v>
      </c>
      <c r="E8" s="104"/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Roteiros!FR25</f>
        <v>42.77301</v>
      </c>
      <c r="C10" s="433"/>
      <c r="D10" s="108">
        <f>Roteiros!FR30</f>
        <v>42.77301</v>
      </c>
      <c r="E10" s="108">
        <v>0</v>
      </c>
      <c r="F10" s="108">
        <v>0</v>
      </c>
      <c r="G10" s="107">
        <f>SUM(B10:F10)</f>
        <v>85.54602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85.54602</v>
      </c>
      <c r="H11" s="103"/>
      <c r="I11" s="103"/>
    </row>
    <row r="12" spans="1:10" ht="15.75">
      <c r="A12" s="258" t="s">
        <v>113</v>
      </c>
      <c r="B12" s="428" t="s">
        <v>421</v>
      </c>
      <c r="C12" s="429"/>
      <c r="D12" s="102" t="s">
        <v>421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1.425767</v>
      </c>
      <c r="C13" s="429"/>
      <c r="D13" s="102">
        <f>D10/30</f>
        <v>1.425767</v>
      </c>
      <c r="E13" s="102">
        <f>E10/30</f>
        <v>0</v>
      </c>
      <c r="F13" s="102">
        <f>F10/30</f>
        <v>0</v>
      </c>
      <c r="G13" s="107">
        <f>SUM(B13:F13)</f>
        <v>2.851534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4.851534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1710.9204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2673.313125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1283.1903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355.8714432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4312.3748682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1710.9204</v>
      </c>
      <c r="G31" s="276">
        <f>H30</f>
        <v>0.208</v>
      </c>
      <c r="H31" s="286">
        <f>_xlfn.IFERROR(F31*G31,0)</f>
        <v>355.8714432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3011.306660533275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0.5513106818181819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7323.681528733275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7323.681528733275</v>
      </c>
      <c r="F54" s="149">
        <f>D54*E54/1</f>
        <v>2193.4426178556155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2193.4426178556155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2193.4426178556155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9517.12414658889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5.562575644424423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4312.3748682</v>
      </c>
      <c r="G65" s="202">
        <f>F65/$F$74</f>
        <v>0.4531174335627042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2673.313125</v>
      </c>
      <c r="G66" s="206">
        <f aca="true" t="shared" si="0" ref="G66:G72">F66/$F$74</f>
        <v>0.2808950565132813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1283.1903</v>
      </c>
      <c r="G67" s="206">
        <f t="shared" si="0"/>
        <v>0.134829627126375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355.8714432</v>
      </c>
      <c r="G68" s="206">
        <f t="shared" si="0"/>
        <v>0.037392749923047995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3011.306660533275</v>
      </c>
      <c r="G69" s="202">
        <f t="shared" si="0"/>
        <v>0.31640930749154744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3011.306660533275</v>
      </c>
      <c r="G70" s="206">
        <f>F70/$F$74</f>
        <v>0.31640930749154744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7323.681528733275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2193.4426178556155</v>
      </c>
      <c r="G72" s="202">
        <f t="shared" si="0"/>
        <v>0.23047325894574833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9517.12414658889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85.54602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1710.9204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5.562575644424423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412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85.54602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5.562575644424423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395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/>
      <c r="C8" s="431"/>
      <c r="D8" s="104">
        <v>24</v>
      </c>
      <c r="E8" s="104" t="s">
        <v>435</v>
      </c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v>0</v>
      </c>
      <c r="C10" s="433"/>
      <c r="D10" s="108">
        <f>Roteiros!FY25</f>
        <v>56.50036999999999</v>
      </c>
      <c r="E10" s="108">
        <f>Roteiros!FY30</f>
        <v>56.50036999999999</v>
      </c>
      <c r="F10" s="108">
        <v>0</v>
      </c>
      <c r="G10" s="107">
        <f>SUM(B10:F10)</f>
        <v>113.00073999999998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113.00073999999998</v>
      </c>
      <c r="H11" s="103"/>
      <c r="I11" s="103"/>
    </row>
    <row r="12" spans="1:10" ht="15.75">
      <c r="A12" s="258" t="s">
        <v>113</v>
      </c>
      <c r="B12" s="428" t="s">
        <v>420</v>
      </c>
      <c r="C12" s="429"/>
      <c r="D12" s="102" t="s">
        <v>422</v>
      </c>
      <c r="E12" s="102" t="s">
        <v>422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0</v>
      </c>
      <c r="C13" s="429"/>
      <c r="D13" s="102">
        <f>D10/30</f>
        <v>1.8833456666666664</v>
      </c>
      <c r="E13" s="102">
        <f>E10/30</f>
        <v>1.8833456666666664</v>
      </c>
      <c r="F13" s="102">
        <f>F10/30</f>
        <v>0</v>
      </c>
      <c r="G13" s="107">
        <f>SUM(B13:F13)</f>
        <v>3.7666913333333327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5.766691333333332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2260.0147999999995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3531.2731249999993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1695.0110999999997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470.08307839999986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5696.367303399999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2260.0147999999995</v>
      </c>
      <c r="G31" s="276">
        <f>H30</f>
        <v>0.208</v>
      </c>
      <c r="H31" s="286">
        <f>_xlfn.IFERROR(F31*G31,0)</f>
        <v>470.08307839999986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3579.33717898425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0.6553058333333333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9275.70448238425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9275.70448238425</v>
      </c>
      <c r="F54" s="149">
        <f>D54*E54/1</f>
        <v>2778.0734924740827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2778.0734924740827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2778.0734924740827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12053.777974858333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5.333495150057573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5696.367303399999</v>
      </c>
      <c r="G65" s="202">
        <f>F65/$F$74</f>
        <v>0.4725794116401873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3531.2731249999993</v>
      </c>
      <c r="G66" s="206">
        <f aca="true" t="shared" si="0" ref="G66:G72">F66/$F$74</f>
        <v>0.2929598614115424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1695.0110999999997</v>
      </c>
      <c r="G67" s="206">
        <f t="shared" si="0"/>
        <v>0.14062073347754037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470.08307839999986</v>
      </c>
      <c r="G68" s="206">
        <f t="shared" si="0"/>
        <v>0.03899881675110452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3579.33717898425</v>
      </c>
      <c r="G69" s="202">
        <f t="shared" si="0"/>
        <v>0.29694732941406426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3579.33717898425</v>
      </c>
      <c r="G70" s="206">
        <f>F70/$F$74</f>
        <v>0.29694732941406426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9275.70448238425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2778.0734924740827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12053.777974858333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113.00073999999998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2260.0147999999995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5.333495150057573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413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113.00073999999998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5.333495150057573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B17:G17"/>
    <mergeCell ref="A18:F18"/>
    <mergeCell ref="A19:F19"/>
    <mergeCell ref="A20:F20"/>
    <mergeCell ref="A1:H1"/>
    <mergeCell ref="A2:H2"/>
    <mergeCell ref="A3:H3"/>
    <mergeCell ref="A4:H4"/>
    <mergeCell ref="A11:F11"/>
    <mergeCell ref="B13:C13"/>
    <mergeCell ref="A14:F14"/>
    <mergeCell ref="B7:C7"/>
    <mergeCell ref="B8:C8"/>
    <mergeCell ref="B10:C10"/>
    <mergeCell ref="B12:C12"/>
    <mergeCell ref="A16:F16"/>
    <mergeCell ref="A15:F15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A82" sqref="A82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475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476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/>
      <c r="C8" s="431"/>
      <c r="D8" s="104">
        <v>24</v>
      </c>
      <c r="E8" s="104" t="s">
        <v>435</v>
      </c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/>
      <c r="C10" s="433"/>
      <c r="D10" s="108">
        <f>Roteiros!GF37</f>
        <v>43.64894999999999</v>
      </c>
      <c r="E10" s="108">
        <f>Roteiros!GF38</f>
        <v>43.64894999999999</v>
      </c>
      <c r="F10" s="108">
        <v>0</v>
      </c>
      <c r="G10" s="107">
        <f>SUM(B10:F10)</f>
        <v>87.29789999999998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87.29789999999998</v>
      </c>
      <c r="H11" s="103"/>
      <c r="I11" s="103"/>
    </row>
    <row r="12" spans="1:10" ht="15.75">
      <c r="A12" s="258" t="s">
        <v>113</v>
      </c>
      <c r="B12" s="428" t="s">
        <v>420</v>
      </c>
      <c r="C12" s="429"/>
      <c r="D12" s="102" t="s">
        <v>424</v>
      </c>
      <c r="E12" s="102" t="s">
        <v>424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0</v>
      </c>
      <c r="C13" s="429"/>
      <c r="D13" s="102">
        <f>D10/30</f>
        <v>1.4549649999999998</v>
      </c>
      <c r="E13" s="102">
        <f>E10/30</f>
        <v>1.4549649999999998</v>
      </c>
      <c r="F13" s="102">
        <f>F10/30</f>
        <v>0</v>
      </c>
      <c r="G13" s="107">
        <f>SUM(B13:F13)</f>
        <v>2.9099299999999997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4.909929999999999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1745.9579999999996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2728.0593749999994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1309.4684999999997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363.1592639999999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4400.687138999999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1745.9579999999996</v>
      </c>
      <c r="G31" s="276">
        <f>H30</f>
        <v>0.208</v>
      </c>
      <c r="H31" s="286">
        <f>_xlfn.IFERROR(F31*G31,0)</f>
        <v>363.1592639999999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3047.552570331804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0.5579465909090908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7448.239709331803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7448.239709331803</v>
      </c>
      <c r="F54" s="149">
        <f>D54*E54/1</f>
        <v>2230.747792944875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2230.747792944875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2230.747792944875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9678.98750227668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5.543654258737427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4400.687138999999</v>
      </c>
      <c r="G65" s="202">
        <f>F65/$F$74</f>
        <v>0.45466399641128524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2728.0593749999994</v>
      </c>
      <c r="G66" s="206">
        <f aca="true" t="shared" si="0" ref="G66:G72">F66/$F$74</f>
        <v>0.2818537966247305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1309.4684999999997</v>
      </c>
      <c r="G67" s="206">
        <f t="shared" si="0"/>
        <v>0.13528982237987064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363.1592639999999</v>
      </c>
      <c r="G68" s="206">
        <f t="shared" si="0"/>
        <v>0.037520377406684124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3047.552570331804</v>
      </c>
      <c r="G69" s="202">
        <f t="shared" si="0"/>
        <v>0.31486274464296626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3047.552570331804</v>
      </c>
      <c r="G70" s="206">
        <f>F70/$F$74</f>
        <v>0.31486274464296626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7448.239709331803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2230.747792944875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9678.98750227668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87.29789999999998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1745.9579999999996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5.543654258737427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483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87.29789999999998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5.543654258737427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452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:H1"/>
    <mergeCell ref="A2:H2"/>
    <mergeCell ref="A3:H3"/>
    <mergeCell ref="A4:H4"/>
    <mergeCell ref="B7:C7"/>
    <mergeCell ref="B8:C8"/>
    <mergeCell ref="B10:C10"/>
    <mergeCell ref="A11:F11"/>
    <mergeCell ref="B12:C12"/>
    <mergeCell ref="B13:C13"/>
    <mergeCell ref="A14:F14"/>
    <mergeCell ref="A15:F15"/>
    <mergeCell ref="A16:F16"/>
    <mergeCell ref="B17:G17"/>
    <mergeCell ref="A18:F18"/>
    <mergeCell ref="A19:F19"/>
    <mergeCell ref="A20:F20"/>
    <mergeCell ref="A21:F21"/>
    <mergeCell ref="F85:H86"/>
    <mergeCell ref="A22:F22"/>
    <mergeCell ref="A23:F23"/>
    <mergeCell ref="A33:H33"/>
    <mergeCell ref="A50:G50"/>
    <mergeCell ref="A52:G52"/>
    <mergeCell ref="A63:G63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G50"/>
  <sheetViews>
    <sheetView zoomScalePageLayoutView="0" workbookViewId="0" topLeftCell="FS13">
      <selection activeCell="GG10" sqref="GG10"/>
    </sheetView>
  </sheetViews>
  <sheetFormatPr defaultColWidth="9.140625" defaultRowHeight="12.75"/>
  <cols>
    <col min="1" max="1" width="4.8515625" style="0" customWidth="1"/>
    <col min="2" max="2" width="23.57421875" style="0" customWidth="1"/>
    <col min="3" max="3" width="16.7109375" style="0" customWidth="1"/>
    <col min="4" max="4" width="10.28125" style="0" customWidth="1"/>
    <col min="5" max="5" width="8.57421875" style="0" customWidth="1"/>
    <col min="6" max="6" width="13.140625" style="0" customWidth="1"/>
    <col min="7" max="7" width="10.28125" style="0" customWidth="1"/>
    <col min="9" max="9" width="22.140625" style="0" customWidth="1"/>
    <col min="10" max="10" width="16.7109375" style="0" customWidth="1"/>
    <col min="11" max="11" width="10.28125" style="0" customWidth="1"/>
    <col min="12" max="12" width="8.57421875" style="0" customWidth="1"/>
    <col min="13" max="13" width="13.140625" style="0" customWidth="1"/>
    <col min="14" max="14" width="8.00390625" style="0" customWidth="1"/>
    <col min="16" max="16" width="23.140625" style="0" customWidth="1"/>
    <col min="17" max="17" width="16.7109375" style="0" customWidth="1"/>
    <col min="18" max="18" width="10.28125" style="0" customWidth="1"/>
    <col min="19" max="19" width="8.57421875" style="0" customWidth="1"/>
    <col min="20" max="20" width="13.140625" style="0" customWidth="1"/>
    <col min="21" max="22" width="7.7109375" style="0" customWidth="1"/>
    <col min="23" max="23" width="23.8515625" style="0" customWidth="1"/>
    <col min="24" max="24" width="17.140625" style="0" customWidth="1"/>
    <col min="27" max="27" width="13.28125" style="0" customWidth="1"/>
    <col min="28" max="28" width="7.7109375" style="0" customWidth="1"/>
    <col min="30" max="30" width="24.28125" style="0" customWidth="1"/>
    <col min="31" max="31" width="19.00390625" style="0" customWidth="1"/>
    <col min="34" max="34" width="13.57421875" style="0" customWidth="1"/>
    <col min="35" max="35" width="8.00390625" style="0" customWidth="1"/>
    <col min="37" max="37" width="21.8515625" style="0" customWidth="1"/>
    <col min="38" max="38" width="17.421875" style="0" customWidth="1"/>
    <col min="41" max="41" width="12.7109375" style="0" customWidth="1"/>
    <col min="44" max="44" width="22.421875" style="0" customWidth="1"/>
    <col min="45" max="45" width="15.8515625" style="0" customWidth="1"/>
    <col min="48" max="48" width="14.00390625" style="0" customWidth="1"/>
    <col min="49" max="49" width="9.140625" style="0" bestFit="1" customWidth="1"/>
    <col min="51" max="51" width="21.8515625" style="0" customWidth="1"/>
    <col min="52" max="52" width="16.28125" style="0" customWidth="1"/>
    <col min="54" max="54" width="11.421875" style="0" customWidth="1"/>
    <col min="55" max="55" width="12.57421875" style="0" customWidth="1"/>
    <col min="56" max="56" width="7.7109375" style="0" customWidth="1"/>
    <col min="58" max="58" width="23.28125" style="0" customWidth="1"/>
    <col min="59" max="59" width="16.7109375" style="0" customWidth="1"/>
    <col min="61" max="61" width="10.28125" style="0" customWidth="1"/>
    <col min="62" max="62" width="13.421875" style="0" customWidth="1"/>
    <col min="63" max="63" width="7.57421875" style="0" customWidth="1"/>
    <col min="65" max="65" width="24.140625" style="0" customWidth="1"/>
    <col min="66" max="66" width="17.28125" style="0" customWidth="1"/>
    <col min="68" max="68" width="10.7109375" style="0" customWidth="1"/>
    <col min="69" max="69" width="13.140625" style="0" customWidth="1"/>
    <col min="70" max="70" width="9.00390625" style="0" customWidth="1"/>
    <col min="72" max="72" width="22.7109375" style="0" customWidth="1"/>
    <col min="73" max="73" width="17.28125" style="0" customWidth="1"/>
    <col min="75" max="75" width="13.140625" style="0" customWidth="1"/>
    <col min="76" max="76" width="12.7109375" style="0" customWidth="1"/>
    <col min="77" max="77" width="8.28125" style="0" customWidth="1"/>
    <col min="79" max="79" width="18.7109375" style="0" bestFit="1" customWidth="1"/>
    <col min="80" max="80" width="15.28125" style="0" bestFit="1" customWidth="1"/>
    <col min="83" max="83" width="12.00390625" style="0" customWidth="1"/>
    <col min="86" max="86" width="18.7109375" style="0" bestFit="1" customWidth="1"/>
    <col min="87" max="87" width="15.28125" style="0" bestFit="1" customWidth="1"/>
    <col min="90" max="90" width="12.00390625" style="0" customWidth="1"/>
    <col min="93" max="93" width="18.7109375" style="0" bestFit="1" customWidth="1"/>
    <col min="94" max="94" width="15.28125" style="0" bestFit="1" customWidth="1"/>
    <col min="97" max="97" width="13.00390625" style="0" customWidth="1"/>
    <col min="100" max="100" width="24.421875" style="0" bestFit="1" customWidth="1"/>
    <col min="101" max="101" width="15.28125" style="0" bestFit="1" customWidth="1"/>
    <col min="104" max="104" width="12.28125" style="0" customWidth="1"/>
    <col min="107" max="107" width="18.7109375" style="0" bestFit="1" customWidth="1"/>
    <col min="108" max="108" width="15.28125" style="0" bestFit="1" customWidth="1"/>
    <col min="111" max="111" width="14.421875" style="0" customWidth="1"/>
    <col min="114" max="114" width="18.7109375" style="0" bestFit="1" customWidth="1"/>
    <col min="115" max="115" width="15.28125" style="0" bestFit="1" customWidth="1"/>
    <col min="118" max="118" width="12.8515625" style="0" customWidth="1"/>
    <col min="121" max="121" width="21.57421875" style="0" customWidth="1"/>
    <col min="122" max="122" width="15.28125" style="0" bestFit="1" customWidth="1"/>
    <col min="125" max="125" width="12.7109375" style="0" customWidth="1"/>
    <col min="128" max="128" width="18.7109375" style="0" bestFit="1" customWidth="1"/>
    <col min="129" max="129" width="15.28125" style="0" bestFit="1" customWidth="1"/>
    <col min="132" max="132" width="11.8515625" style="0" customWidth="1"/>
    <col min="135" max="135" width="24.421875" style="0" bestFit="1" customWidth="1"/>
    <col min="136" max="136" width="15.28125" style="0" bestFit="1" customWidth="1"/>
    <col min="139" max="139" width="12.421875" style="0" customWidth="1"/>
    <col min="142" max="142" width="24.421875" style="0" bestFit="1" customWidth="1"/>
    <col min="143" max="143" width="15.28125" style="0" bestFit="1" customWidth="1"/>
    <col min="146" max="146" width="11.7109375" style="0" customWidth="1"/>
    <col min="149" max="149" width="18.7109375" style="0" bestFit="1" customWidth="1"/>
    <col min="150" max="150" width="15.28125" style="0" bestFit="1" customWidth="1"/>
    <col min="153" max="153" width="11.140625" style="0" customWidth="1"/>
    <col min="156" max="156" width="18.7109375" style="0" bestFit="1" customWidth="1"/>
    <col min="157" max="157" width="16.28125" style="0" customWidth="1"/>
    <col min="160" max="160" width="12.421875" style="0" customWidth="1"/>
    <col min="163" max="163" width="18.7109375" style="0" bestFit="1" customWidth="1"/>
    <col min="164" max="164" width="16.57421875" style="0" customWidth="1"/>
    <col min="167" max="167" width="12.28125" style="0" customWidth="1"/>
    <col min="170" max="170" width="18.7109375" style="0" bestFit="1" customWidth="1"/>
    <col min="171" max="171" width="17.421875" style="0" customWidth="1"/>
    <col min="174" max="174" width="11.7109375" style="0" customWidth="1"/>
    <col min="177" max="177" width="21.140625" style="0" customWidth="1"/>
    <col min="178" max="178" width="16.8515625" style="0" customWidth="1"/>
    <col min="181" max="181" width="11.28125" style="0" customWidth="1"/>
    <col min="184" max="184" width="19.421875" style="0" customWidth="1"/>
    <col min="185" max="185" width="16.00390625" style="0" customWidth="1"/>
    <col min="186" max="186" width="10.8515625" style="0" customWidth="1"/>
    <col min="188" max="188" width="14.8515625" style="0" customWidth="1"/>
    <col min="189" max="189" width="9.00390625" style="0" customWidth="1"/>
  </cols>
  <sheetData>
    <row r="1" ht="13.5" thickBot="1"/>
    <row r="2" spans="2:189" ht="15.75" customHeight="1" thickBot="1">
      <c r="B2" s="478" t="s">
        <v>300</v>
      </c>
      <c r="C2" s="479"/>
      <c r="D2" s="479"/>
      <c r="E2" s="479"/>
      <c r="F2" s="479"/>
      <c r="G2" s="480"/>
      <c r="I2" s="478" t="s">
        <v>301</v>
      </c>
      <c r="J2" s="479"/>
      <c r="K2" s="479"/>
      <c r="L2" s="479"/>
      <c r="M2" s="479"/>
      <c r="N2" s="480"/>
      <c r="O2" s="298"/>
      <c r="P2" s="478" t="s">
        <v>302</v>
      </c>
      <c r="Q2" s="479"/>
      <c r="R2" s="479"/>
      <c r="S2" s="479"/>
      <c r="T2" s="479"/>
      <c r="U2" s="480"/>
      <c r="V2" s="298"/>
      <c r="W2" s="478" t="s">
        <v>303</v>
      </c>
      <c r="X2" s="479"/>
      <c r="Y2" s="479"/>
      <c r="Z2" s="479"/>
      <c r="AA2" s="479"/>
      <c r="AB2" s="480"/>
      <c r="AC2" s="298"/>
      <c r="AD2" s="478" t="s">
        <v>304</v>
      </c>
      <c r="AE2" s="479"/>
      <c r="AF2" s="479"/>
      <c r="AG2" s="479"/>
      <c r="AH2" s="479"/>
      <c r="AI2" s="480"/>
      <c r="AJ2" s="298"/>
      <c r="AK2" s="478" t="s">
        <v>305</v>
      </c>
      <c r="AL2" s="479"/>
      <c r="AM2" s="479"/>
      <c r="AN2" s="479"/>
      <c r="AO2" s="479"/>
      <c r="AP2" s="480"/>
      <c r="AQ2" s="298"/>
      <c r="AR2" s="478" t="s">
        <v>306</v>
      </c>
      <c r="AS2" s="479"/>
      <c r="AT2" s="479"/>
      <c r="AU2" s="479"/>
      <c r="AV2" s="479"/>
      <c r="AW2" s="480"/>
      <c r="AX2" s="298"/>
      <c r="AY2" s="478" t="s">
        <v>307</v>
      </c>
      <c r="AZ2" s="479"/>
      <c r="BA2" s="479"/>
      <c r="BB2" s="479"/>
      <c r="BC2" s="479"/>
      <c r="BD2" s="480"/>
      <c r="BE2" s="298"/>
      <c r="BF2" s="478" t="s">
        <v>308</v>
      </c>
      <c r="BG2" s="479"/>
      <c r="BH2" s="479"/>
      <c r="BI2" s="479"/>
      <c r="BJ2" s="479"/>
      <c r="BK2" s="480"/>
      <c r="BM2" s="478" t="s">
        <v>325</v>
      </c>
      <c r="BN2" s="479"/>
      <c r="BO2" s="479"/>
      <c r="BP2" s="479"/>
      <c r="BQ2" s="479"/>
      <c r="BR2" s="480"/>
      <c r="BT2" s="478" t="s">
        <v>326</v>
      </c>
      <c r="BU2" s="479"/>
      <c r="BV2" s="479"/>
      <c r="BW2" s="479"/>
      <c r="BX2" s="479"/>
      <c r="BY2" s="480"/>
      <c r="BZ2" s="298"/>
      <c r="CA2" s="478" t="s">
        <v>327</v>
      </c>
      <c r="CB2" s="479"/>
      <c r="CC2" s="479"/>
      <c r="CD2" s="479"/>
      <c r="CE2" s="479"/>
      <c r="CF2" s="480"/>
      <c r="CG2" s="298"/>
      <c r="CH2" s="478" t="s">
        <v>328</v>
      </c>
      <c r="CI2" s="479"/>
      <c r="CJ2" s="479"/>
      <c r="CK2" s="479"/>
      <c r="CL2" s="479"/>
      <c r="CM2" s="480"/>
      <c r="CN2" s="298"/>
      <c r="CO2" s="478" t="s">
        <v>329</v>
      </c>
      <c r="CP2" s="479"/>
      <c r="CQ2" s="479"/>
      <c r="CR2" s="479"/>
      <c r="CS2" s="479"/>
      <c r="CT2" s="480"/>
      <c r="CU2" s="298"/>
      <c r="CV2" s="478" t="s">
        <v>332</v>
      </c>
      <c r="CW2" s="479"/>
      <c r="CX2" s="479"/>
      <c r="CY2" s="479"/>
      <c r="CZ2" s="479"/>
      <c r="DA2" s="480"/>
      <c r="DB2" s="298"/>
      <c r="DC2" s="478" t="s">
        <v>364</v>
      </c>
      <c r="DD2" s="479"/>
      <c r="DE2" s="479"/>
      <c r="DF2" s="479"/>
      <c r="DG2" s="479"/>
      <c r="DH2" s="480"/>
      <c r="DI2" s="298"/>
      <c r="DJ2" s="478" t="s">
        <v>330</v>
      </c>
      <c r="DK2" s="479"/>
      <c r="DL2" s="479"/>
      <c r="DM2" s="479"/>
      <c r="DN2" s="479"/>
      <c r="DO2" s="480"/>
      <c r="DP2" s="298"/>
      <c r="DQ2" s="478" t="s">
        <v>331</v>
      </c>
      <c r="DR2" s="479"/>
      <c r="DS2" s="479"/>
      <c r="DT2" s="479"/>
      <c r="DU2" s="479"/>
      <c r="DV2" s="480"/>
      <c r="DX2" s="478" t="s">
        <v>334</v>
      </c>
      <c r="DY2" s="479"/>
      <c r="DZ2" s="479"/>
      <c r="EA2" s="479"/>
      <c r="EB2" s="479"/>
      <c r="EC2" s="480"/>
      <c r="EE2" s="478" t="s">
        <v>335</v>
      </c>
      <c r="EF2" s="479"/>
      <c r="EG2" s="479"/>
      <c r="EH2" s="479"/>
      <c r="EI2" s="479"/>
      <c r="EJ2" s="480"/>
      <c r="EK2" s="298"/>
      <c r="EL2" s="478" t="s">
        <v>336</v>
      </c>
      <c r="EM2" s="479"/>
      <c r="EN2" s="479"/>
      <c r="EO2" s="479"/>
      <c r="EP2" s="479"/>
      <c r="EQ2" s="480"/>
      <c r="ER2" s="298"/>
      <c r="ES2" s="478" t="s">
        <v>337</v>
      </c>
      <c r="ET2" s="479"/>
      <c r="EU2" s="479"/>
      <c r="EV2" s="479"/>
      <c r="EW2" s="479"/>
      <c r="EX2" s="480"/>
      <c r="EY2" s="298"/>
      <c r="EZ2" s="478" t="s">
        <v>338</v>
      </c>
      <c r="FA2" s="479"/>
      <c r="FB2" s="479"/>
      <c r="FC2" s="479"/>
      <c r="FD2" s="479"/>
      <c r="FE2" s="480"/>
      <c r="FF2" s="298"/>
      <c r="FG2" s="478" t="s">
        <v>339</v>
      </c>
      <c r="FH2" s="479"/>
      <c r="FI2" s="479"/>
      <c r="FJ2" s="479"/>
      <c r="FK2" s="479"/>
      <c r="FL2" s="480"/>
      <c r="FM2" s="298"/>
      <c r="FN2" s="478" t="s">
        <v>340</v>
      </c>
      <c r="FO2" s="479"/>
      <c r="FP2" s="479"/>
      <c r="FQ2" s="479"/>
      <c r="FR2" s="479"/>
      <c r="FS2" s="480"/>
      <c r="FT2" s="354"/>
      <c r="FU2" s="478" t="s">
        <v>341</v>
      </c>
      <c r="FV2" s="479"/>
      <c r="FW2" s="479"/>
      <c r="FX2" s="479"/>
      <c r="FY2" s="479"/>
      <c r="FZ2" s="480"/>
      <c r="GA2" s="298"/>
      <c r="GB2" s="478" t="s">
        <v>477</v>
      </c>
      <c r="GC2" s="479"/>
      <c r="GD2" s="479"/>
      <c r="GE2" s="479"/>
      <c r="GF2" s="479"/>
      <c r="GG2" s="480"/>
    </row>
    <row r="3" spans="2:189" ht="15.75" thickBot="1">
      <c r="B3" s="475"/>
      <c r="C3" s="476"/>
      <c r="D3" s="476"/>
      <c r="E3" s="476"/>
      <c r="F3" s="476"/>
      <c r="G3" s="477"/>
      <c r="I3" s="475"/>
      <c r="J3" s="476"/>
      <c r="K3" s="476"/>
      <c r="L3" s="476"/>
      <c r="M3" s="476"/>
      <c r="N3" s="477"/>
      <c r="O3" s="298"/>
      <c r="P3" s="475"/>
      <c r="Q3" s="476"/>
      <c r="R3" s="476"/>
      <c r="S3" s="476"/>
      <c r="T3" s="476"/>
      <c r="U3" s="477"/>
      <c r="V3" s="298"/>
      <c r="W3" s="475"/>
      <c r="X3" s="476"/>
      <c r="Y3" s="476"/>
      <c r="Z3" s="476"/>
      <c r="AA3" s="476"/>
      <c r="AB3" s="477"/>
      <c r="AC3" s="298"/>
      <c r="AD3" s="475"/>
      <c r="AE3" s="476"/>
      <c r="AF3" s="476"/>
      <c r="AG3" s="476"/>
      <c r="AH3" s="476"/>
      <c r="AI3" s="477"/>
      <c r="AJ3" s="298"/>
      <c r="AK3" s="475"/>
      <c r="AL3" s="476"/>
      <c r="AM3" s="476"/>
      <c r="AN3" s="476"/>
      <c r="AO3" s="476"/>
      <c r="AP3" s="477"/>
      <c r="AQ3" s="298"/>
      <c r="AR3" s="475"/>
      <c r="AS3" s="476"/>
      <c r="AT3" s="476"/>
      <c r="AU3" s="476"/>
      <c r="AV3" s="476"/>
      <c r="AW3" s="477"/>
      <c r="AX3" s="298"/>
      <c r="AY3" s="475"/>
      <c r="AZ3" s="476"/>
      <c r="BA3" s="476"/>
      <c r="BB3" s="476"/>
      <c r="BC3" s="476"/>
      <c r="BD3" s="477"/>
      <c r="BE3" s="298"/>
      <c r="BF3" s="475"/>
      <c r="BG3" s="476"/>
      <c r="BH3" s="476"/>
      <c r="BI3" s="476"/>
      <c r="BJ3" s="476"/>
      <c r="BK3" s="477"/>
      <c r="BM3" s="475"/>
      <c r="BN3" s="476"/>
      <c r="BO3" s="476"/>
      <c r="BP3" s="476"/>
      <c r="BQ3" s="476"/>
      <c r="BR3" s="477"/>
      <c r="BT3" s="475"/>
      <c r="BU3" s="476"/>
      <c r="BV3" s="476"/>
      <c r="BW3" s="476"/>
      <c r="BX3" s="476"/>
      <c r="BY3" s="477"/>
      <c r="BZ3" s="298"/>
      <c r="CA3" s="475"/>
      <c r="CB3" s="476"/>
      <c r="CC3" s="476"/>
      <c r="CD3" s="476"/>
      <c r="CE3" s="476"/>
      <c r="CF3" s="477"/>
      <c r="CG3" s="298"/>
      <c r="CH3" s="475"/>
      <c r="CI3" s="476"/>
      <c r="CJ3" s="476"/>
      <c r="CK3" s="476"/>
      <c r="CL3" s="476"/>
      <c r="CM3" s="477"/>
      <c r="CN3" s="298"/>
      <c r="CO3" s="475"/>
      <c r="CP3" s="476"/>
      <c r="CQ3" s="476"/>
      <c r="CR3" s="476"/>
      <c r="CS3" s="476"/>
      <c r="CT3" s="477"/>
      <c r="CU3" s="298"/>
      <c r="CV3" s="478"/>
      <c r="CW3" s="479"/>
      <c r="CX3" s="479"/>
      <c r="CY3" s="479"/>
      <c r="CZ3" s="479"/>
      <c r="DA3" s="480"/>
      <c r="DB3" s="298"/>
      <c r="DC3" s="475" t="s">
        <v>28</v>
      </c>
      <c r="DD3" s="476"/>
      <c r="DE3" s="476"/>
      <c r="DF3" s="476"/>
      <c r="DG3" s="476"/>
      <c r="DH3" s="477"/>
      <c r="DI3" s="298"/>
      <c r="DJ3" s="475" t="s">
        <v>28</v>
      </c>
      <c r="DK3" s="476"/>
      <c r="DL3" s="476"/>
      <c r="DM3" s="476"/>
      <c r="DN3" s="476"/>
      <c r="DO3" s="477"/>
      <c r="DP3" s="298"/>
      <c r="DQ3" s="475" t="s">
        <v>28</v>
      </c>
      <c r="DR3" s="476"/>
      <c r="DS3" s="476"/>
      <c r="DT3" s="476"/>
      <c r="DU3" s="476"/>
      <c r="DV3" s="477"/>
      <c r="DX3" s="475"/>
      <c r="DY3" s="476"/>
      <c r="DZ3" s="476"/>
      <c r="EA3" s="476"/>
      <c r="EB3" s="476"/>
      <c r="EC3" s="477"/>
      <c r="EE3" s="475" t="s">
        <v>28</v>
      </c>
      <c r="EF3" s="476"/>
      <c r="EG3" s="476"/>
      <c r="EH3" s="476"/>
      <c r="EI3" s="476"/>
      <c r="EJ3" s="477"/>
      <c r="EK3" s="298"/>
      <c r="EL3" s="475"/>
      <c r="EM3" s="476"/>
      <c r="EN3" s="476"/>
      <c r="EO3" s="476"/>
      <c r="EP3" s="476"/>
      <c r="EQ3" s="477"/>
      <c r="ER3" s="298"/>
      <c r="ES3" s="475"/>
      <c r="ET3" s="476"/>
      <c r="EU3" s="476"/>
      <c r="EV3" s="476"/>
      <c r="EW3" s="476"/>
      <c r="EX3" s="477"/>
      <c r="EY3" s="298"/>
      <c r="EZ3" s="475" t="s">
        <v>28</v>
      </c>
      <c r="FA3" s="476"/>
      <c r="FB3" s="476"/>
      <c r="FC3" s="476"/>
      <c r="FD3" s="476"/>
      <c r="FE3" s="477"/>
      <c r="FF3" s="298"/>
      <c r="FG3" s="475"/>
      <c r="FH3" s="476"/>
      <c r="FI3" s="476"/>
      <c r="FJ3" s="476"/>
      <c r="FK3" s="476"/>
      <c r="FL3" s="477"/>
      <c r="FM3" s="298"/>
      <c r="FN3" s="475"/>
      <c r="FO3" s="476"/>
      <c r="FP3" s="476"/>
      <c r="FQ3" s="476"/>
      <c r="FR3" s="476"/>
      <c r="FS3" s="477"/>
      <c r="FT3" s="8"/>
      <c r="FU3" s="475"/>
      <c r="FV3" s="476"/>
      <c r="FW3" s="476"/>
      <c r="FX3" s="476"/>
      <c r="FY3" s="476"/>
      <c r="FZ3" s="477"/>
      <c r="GA3" s="298"/>
      <c r="GB3" s="475"/>
      <c r="GC3" s="476"/>
      <c r="GD3" s="476"/>
      <c r="GE3" s="476"/>
      <c r="GF3" s="476"/>
      <c r="GG3" s="477"/>
    </row>
    <row r="4" spans="2:189" ht="15.75" customHeight="1" thickBot="1">
      <c r="B4" s="471" t="s">
        <v>309</v>
      </c>
      <c r="C4" s="472"/>
      <c r="D4" s="472"/>
      <c r="E4" s="472"/>
      <c r="F4" s="472"/>
      <c r="G4" s="473"/>
      <c r="I4" s="471" t="s">
        <v>309</v>
      </c>
      <c r="J4" s="472"/>
      <c r="K4" s="472"/>
      <c r="L4" s="472"/>
      <c r="M4" s="472"/>
      <c r="N4" s="473"/>
      <c r="O4" s="298"/>
      <c r="P4" s="471" t="s">
        <v>309</v>
      </c>
      <c r="Q4" s="472"/>
      <c r="R4" s="472"/>
      <c r="S4" s="472"/>
      <c r="T4" s="472"/>
      <c r="U4" s="473"/>
      <c r="V4" s="298"/>
      <c r="W4" s="471" t="s">
        <v>309</v>
      </c>
      <c r="X4" s="472"/>
      <c r="Y4" s="472"/>
      <c r="Z4" s="472"/>
      <c r="AA4" s="472"/>
      <c r="AB4" s="473"/>
      <c r="AC4" s="298"/>
      <c r="AD4" s="471" t="s">
        <v>309</v>
      </c>
      <c r="AE4" s="472"/>
      <c r="AF4" s="472"/>
      <c r="AG4" s="472"/>
      <c r="AH4" s="472"/>
      <c r="AI4" s="473"/>
      <c r="AJ4" s="298"/>
      <c r="AK4" s="471" t="s">
        <v>309</v>
      </c>
      <c r="AL4" s="472"/>
      <c r="AM4" s="472"/>
      <c r="AN4" s="472"/>
      <c r="AO4" s="472"/>
      <c r="AP4" s="473"/>
      <c r="AQ4" s="298"/>
      <c r="AR4" s="471" t="s">
        <v>309</v>
      </c>
      <c r="AS4" s="472"/>
      <c r="AT4" s="472"/>
      <c r="AU4" s="472"/>
      <c r="AV4" s="472"/>
      <c r="AW4" s="473"/>
      <c r="AX4" s="298"/>
      <c r="AY4" s="471" t="s">
        <v>309</v>
      </c>
      <c r="AZ4" s="472"/>
      <c r="BA4" s="472"/>
      <c r="BB4" s="472"/>
      <c r="BC4" s="472"/>
      <c r="BD4" s="473"/>
      <c r="BE4" s="298"/>
      <c r="BF4" s="471" t="s">
        <v>309</v>
      </c>
      <c r="BG4" s="472"/>
      <c r="BH4" s="472"/>
      <c r="BI4" s="472"/>
      <c r="BJ4" s="472"/>
      <c r="BK4" s="473"/>
      <c r="BM4" s="471" t="s">
        <v>293</v>
      </c>
      <c r="BN4" s="472"/>
      <c r="BO4" s="472"/>
      <c r="BP4" s="472"/>
      <c r="BQ4" s="472"/>
      <c r="BR4" s="473"/>
      <c r="BT4" s="471" t="s">
        <v>293</v>
      </c>
      <c r="BU4" s="472"/>
      <c r="BV4" s="472"/>
      <c r="BW4" s="472"/>
      <c r="BX4" s="472"/>
      <c r="BY4" s="473"/>
      <c r="BZ4" s="298"/>
      <c r="CA4" s="471" t="s">
        <v>293</v>
      </c>
      <c r="CB4" s="472"/>
      <c r="CC4" s="472"/>
      <c r="CD4" s="472"/>
      <c r="CE4" s="472"/>
      <c r="CF4" s="473"/>
      <c r="CG4" s="298"/>
      <c r="CH4" s="471" t="s">
        <v>293</v>
      </c>
      <c r="CI4" s="472"/>
      <c r="CJ4" s="472"/>
      <c r="CK4" s="472"/>
      <c r="CL4" s="472"/>
      <c r="CM4" s="473"/>
      <c r="CN4" s="298"/>
      <c r="CO4" s="478" t="s">
        <v>293</v>
      </c>
      <c r="CP4" s="479"/>
      <c r="CQ4" s="479"/>
      <c r="CR4" s="479"/>
      <c r="CS4" s="479"/>
      <c r="CT4" s="480"/>
      <c r="CU4" s="298"/>
      <c r="CV4" s="478" t="s">
        <v>293</v>
      </c>
      <c r="CW4" s="479"/>
      <c r="CX4" s="479"/>
      <c r="CY4" s="479"/>
      <c r="CZ4" s="479"/>
      <c r="DA4" s="480"/>
      <c r="DB4" s="298"/>
      <c r="DC4" s="478" t="s">
        <v>293</v>
      </c>
      <c r="DD4" s="479"/>
      <c r="DE4" s="479"/>
      <c r="DF4" s="479"/>
      <c r="DG4" s="479"/>
      <c r="DH4" s="480"/>
      <c r="DI4" s="298"/>
      <c r="DJ4" s="478" t="s">
        <v>293</v>
      </c>
      <c r="DK4" s="479"/>
      <c r="DL4" s="479"/>
      <c r="DM4" s="479"/>
      <c r="DN4" s="479"/>
      <c r="DO4" s="480"/>
      <c r="DP4" s="298"/>
      <c r="DQ4" s="478" t="s">
        <v>351</v>
      </c>
      <c r="DR4" s="479"/>
      <c r="DS4" s="479"/>
      <c r="DT4" s="479"/>
      <c r="DU4" s="479"/>
      <c r="DV4" s="480"/>
      <c r="DX4" s="478" t="s">
        <v>351</v>
      </c>
      <c r="DY4" s="479"/>
      <c r="DZ4" s="479"/>
      <c r="EA4" s="479"/>
      <c r="EB4" s="479"/>
      <c r="EC4" s="480"/>
      <c r="EE4" s="471" t="s">
        <v>309</v>
      </c>
      <c r="EF4" s="472"/>
      <c r="EG4" s="472"/>
      <c r="EH4" s="472"/>
      <c r="EI4" s="472"/>
      <c r="EJ4" s="473"/>
      <c r="EK4" s="298"/>
      <c r="EL4" s="471" t="s">
        <v>309</v>
      </c>
      <c r="EM4" s="472"/>
      <c r="EN4" s="472"/>
      <c r="EO4" s="472"/>
      <c r="EP4" s="472"/>
      <c r="EQ4" s="473"/>
      <c r="ER4" s="298"/>
      <c r="ES4" s="471" t="s">
        <v>309</v>
      </c>
      <c r="ET4" s="472"/>
      <c r="EU4" s="472"/>
      <c r="EV4" s="472"/>
      <c r="EW4" s="472"/>
      <c r="EX4" s="473"/>
      <c r="EY4" s="298"/>
      <c r="EZ4" s="471" t="s">
        <v>309</v>
      </c>
      <c r="FA4" s="472"/>
      <c r="FB4" s="472"/>
      <c r="FC4" s="472"/>
      <c r="FD4" s="472"/>
      <c r="FE4" s="473"/>
      <c r="FF4" s="298"/>
      <c r="FG4" s="471" t="s">
        <v>309</v>
      </c>
      <c r="FH4" s="472"/>
      <c r="FI4" s="472"/>
      <c r="FJ4" s="472"/>
      <c r="FK4" s="472"/>
      <c r="FL4" s="473"/>
      <c r="FM4" s="298"/>
      <c r="FN4" s="471" t="s">
        <v>309</v>
      </c>
      <c r="FO4" s="472"/>
      <c r="FP4" s="472"/>
      <c r="FQ4" s="472"/>
      <c r="FR4" s="472"/>
      <c r="FS4" s="473"/>
      <c r="FT4" s="354"/>
      <c r="FU4" s="478" t="s">
        <v>351</v>
      </c>
      <c r="FV4" s="479"/>
      <c r="FW4" s="479"/>
      <c r="FX4" s="479"/>
      <c r="FY4" s="479"/>
      <c r="FZ4" s="480"/>
      <c r="GA4" s="298"/>
      <c r="GB4" s="471" t="s">
        <v>309</v>
      </c>
      <c r="GC4" s="472"/>
      <c r="GD4" s="472"/>
      <c r="GE4" s="472"/>
      <c r="GF4" s="472"/>
      <c r="GG4" s="473"/>
    </row>
    <row r="5" spans="2:189" ht="15" customHeight="1" thickBot="1">
      <c r="B5" s="488"/>
      <c r="C5" s="489"/>
      <c r="D5" s="489"/>
      <c r="E5" s="489"/>
      <c r="F5" s="489"/>
      <c r="G5" s="490"/>
      <c r="I5" s="488"/>
      <c r="J5" s="489"/>
      <c r="K5" s="489"/>
      <c r="L5" s="489"/>
      <c r="M5" s="489"/>
      <c r="N5" s="490"/>
      <c r="O5" s="298"/>
      <c r="P5" s="488"/>
      <c r="Q5" s="489"/>
      <c r="R5" s="489"/>
      <c r="S5" s="489"/>
      <c r="T5" s="489"/>
      <c r="U5" s="490"/>
      <c r="V5" s="298"/>
      <c r="W5" s="488"/>
      <c r="X5" s="489"/>
      <c r="Y5" s="489"/>
      <c r="Z5" s="489"/>
      <c r="AA5" s="489"/>
      <c r="AB5" s="490"/>
      <c r="AC5" s="298"/>
      <c r="AD5" s="488"/>
      <c r="AE5" s="489"/>
      <c r="AF5" s="489"/>
      <c r="AG5" s="489"/>
      <c r="AH5" s="489"/>
      <c r="AI5" s="490"/>
      <c r="AJ5" s="298"/>
      <c r="AK5" s="488"/>
      <c r="AL5" s="489"/>
      <c r="AM5" s="489"/>
      <c r="AN5" s="489"/>
      <c r="AO5" s="489"/>
      <c r="AP5" s="490"/>
      <c r="AQ5" s="298"/>
      <c r="AR5" s="488"/>
      <c r="AS5" s="489"/>
      <c r="AT5" s="489"/>
      <c r="AU5" s="489"/>
      <c r="AV5" s="489"/>
      <c r="AW5" s="490"/>
      <c r="AX5" s="298"/>
      <c r="AY5" s="488"/>
      <c r="AZ5" s="489"/>
      <c r="BA5" s="489"/>
      <c r="BB5" s="489"/>
      <c r="BC5" s="489"/>
      <c r="BD5" s="490"/>
      <c r="BE5" s="298"/>
      <c r="BF5" s="488"/>
      <c r="BG5" s="489"/>
      <c r="BH5" s="489"/>
      <c r="BI5" s="489"/>
      <c r="BJ5" s="489"/>
      <c r="BK5" s="490"/>
      <c r="BM5" s="488" t="s">
        <v>28</v>
      </c>
      <c r="BN5" s="489"/>
      <c r="BO5" s="489"/>
      <c r="BP5" s="489"/>
      <c r="BQ5" s="489"/>
      <c r="BR5" s="490"/>
      <c r="BT5" s="488" t="s">
        <v>28</v>
      </c>
      <c r="BU5" s="489"/>
      <c r="BV5" s="489"/>
      <c r="BW5" s="489"/>
      <c r="BX5" s="489"/>
      <c r="BY5" s="490"/>
      <c r="BZ5" s="298"/>
      <c r="CA5" s="488" t="s">
        <v>28</v>
      </c>
      <c r="CB5" s="489"/>
      <c r="CC5" s="489"/>
      <c r="CD5" s="489"/>
      <c r="CE5" s="489"/>
      <c r="CF5" s="490"/>
      <c r="CG5" s="298"/>
      <c r="CH5" s="488" t="s">
        <v>28</v>
      </c>
      <c r="CI5" s="489"/>
      <c r="CJ5" s="489"/>
      <c r="CK5" s="489"/>
      <c r="CL5" s="489"/>
      <c r="CM5" s="490"/>
      <c r="CN5" s="298"/>
      <c r="CO5" s="475" t="s">
        <v>28</v>
      </c>
      <c r="CP5" s="476"/>
      <c r="CQ5" s="476"/>
      <c r="CR5" s="476"/>
      <c r="CS5" s="476"/>
      <c r="CT5" s="477"/>
      <c r="CU5" s="298"/>
      <c r="CV5" s="475" t="s">
        <v>28</v>
      </c>
      <c r="CW5" s="476"/>
      <c r="CX5" s="476"/>
      <c r="CY5" s="476"/>
      <c r="CZ5" s="476"/>
      <c r="DA5" s="477"/>
      <c r="DB5" s="298"/>
      <c r="DC5" s="475" t="s">
        <v>28</v>
      </c>
      <c r="DD5" s="476"/>
      <c r="DE5" s="476"/>
      <c r="DF5" s="476"/>
      <c r="DG5" s="476"/>
      <c r="DH5" s="477"/>
      <c r="DI5" s="298"/>
      <c r="DJ5" s="475" t="s">
        <v>28</v>
      </c>
      <c r="DK5" s="476"/>
      <c r="DL5" s="476"/>
      <c r="DM5" s="476"/>
      <c r="DN5" s="476"/>
      <c r="DO5" s="477"/>
      <c r="DP5" s="298"/>
      <c r="DQ5" s="475" t="s">
        <v>28</v>
      </c>
      <c r="DR5" s="476"/>
      <c r="DS5" s="476"/>
      <c r="DT5" s="476"/>
      <c r="DU5" s="476"/>
      <c r="DV5" s="477"/>
      <c r="DX5" s="488"/>
      <c r="DY5" s="489"/>
      <c r="DZ5" s="489"/>
      <c r="EA5" s="489"/>
      <c r="EB5" s="489"/>
      <c r="EC5" s="490"/>
      <c r="EE5" s="488" t="s">
        <v>28</v>
      </c>
      <c r="EF5" s="489"/>
      <c r="EG5" s="489"/>
      <c r="EH5" s="489"/>
      <c r="EI5" s="489"/>
      <c r="EJ5" s="490"/>
      <c r="EK5" s="298"/>
      <c r="EL5" s="488"/>
      <c r="EM5" s="489"/>
      <c r="EN5" s="489"/>
      <c r="EO5" s="489"/>
      <c r="EP5" s="489"/>
      <c r="EQ5" s="490"/>
      <c r="ER5" s="298"/>
      <c r="ES5" s="488"/>
      <c r="ET5" s="489"/>
      <c r="EU5" s="489"/>
      <c r="EV5" s="489"/>
      <c r="EW5" s="489"/>
      <c r="EX5" s="490"/>
      <c r="EY5" s="298"/>
      <c r="EZ5" s="488" t="s">
        <v>28</v>
      </c>
      <c r="FA5" s="489"/>
      <c r="FB5" s="489"/>
      <c r="FC5" s="489"/>
      <c r="FD5" s="489"/>
      <c r="FE5" s="490"/>
      <c r="FF5" s="298"/>
      <c r="FG5" s="488"/>
      <c r="FH5" s="489"/>
      <c r="FI5" s="489"/>
      <c r="FJ5" s="489"/>
      <c r="FK5" s="489"/>
      <c r="FL5" s="490"/>
      <c r="FM5" s="298"/>
      <c r="FN5" s="488"/>
      <c r="FO5" s="489"/>
      <c r="FP5" s="489"/>
      <c r="FQ5" s="489"/>
      <c r="FR5" s="489"/>
      <c r="FS5" s="490"/>
      <c r="FT5" s="8"/>
      <c r="FU5" s="509"/>
      <c r="FV5" s="510"/>
      <c r="FW5" s="510"/>
      <c r="FX5" s="510"/>
      <c r="FY5" s="510"/>
      <c r="FZ5" s="511"/>
      <c r="GA5" s="298"/>
      <c r="GB5" s="488"/>
      <c r="GC5" s="489"/>
      <c r="GD5" s="489"/>
      <c r="GE5" s="489"/>
      <c r="GF5" s="489"/>
      <c r="GG5" s="490"/>
    </row>
    <row r="6" spans="2:189" ht="15">
      <c r="B6" s="299" t="s">
        <v>105</v>
      </c>
      <c r="C6" s="300" t="s">
        <v>310</v>
      </c>
      <c r="D6" s="491" t="s">
        <v>259</v>
      </c>
      <c r="E6" s="492"/>
      <c r="F6" s="300" t="s">
        <v>103</v>
      </c>
      <c r="G6" s="301" t="s">
        <v>94</v>
      </c>
      <c r="I6" s="299" t="s">
        <v>105</v>
      </c>
      <c r="J6" s="300" t="s">
        <v>310</v>
      </c>
      <c r="K6" s="491" t="s">
        <v>259</v>
      </c>
      <c r="L6" s="492"/>
      <c r="M6" s="300" t="s">
        <v>103</v>
      </c>
      <c r="N6" s="301" t="s">
        <v>94</v>
      </c>
      <c r="O6" s="298"/>
      <c r="P6" s="299" t="s">
        <v>105</v>
      </c>
      <c r="Q6" s="300" t="s">
        <v>310</v>
      </c>
      <c r="R6" s="491" t="s">
        <v>259</v>
      </c>
      <c r="S6" s="492"/>
      <c r="T6" s="300" t="s">
        <v>103</v>
      </c>
      <c r="U6" s="301" t="s">
        <v>94</v>
      </c>
      <c r="V6" s="298"/>
      <c r="W6" s="299" t="s">
        <v>105</v>
      </c>
      <c r="X6" s="300" t="s">
        <v>310</v>
      </c>
      <c r="Y6" s="491" t="s">
        <v>259</v>
      </c>
      <c r="Z6" s="492"/>
      <c r="AA6" s="300" t="s">
        <v>103</v>
      </c>
      <c r="AB6" s="301" t="s">
        <v>94</v>
      </c>
      <c r="AC6" s="298"/>
      <c r="AD6" s="299" t="s">
        <v>105</v>
      </c>
      <c r="AE6" s="300" t="s">
        <v>310</v>
      </c>
      <c r="AF6" s="491" t="s">
        <v>259</v>
      </c>
      <c r="AG6" s="492"/>
      <c r="AH6" s="300" t="s">
        <v>103</v>
      </c>
      <c r="AI6" s="301" t="s">
        <v>94</v>
      </c>
      <c r="AJ6" s="298"/>
      <c r="AK6" s="299" t="s">
        <v>105</v>
      </c>
      <c r="AL6" s="300" t="s">
        <v>310</v>
      </c>
      <c r="AM6" s="491" t="s">
        <v>259</v>
      </c>
      <c r="AN6" s="492"/>
      <c r="AO6" s="300" t="s">
        <v>103</v>
      </c>
      <c r="AP6" s="301" t="s">
        <v>94</v>
      </c>
      <c r="AQ6" s="298"/>
      <c r="AR6" s="299" t="s">
        <v>105</v>
      </c>
      <c r="AS6" s="300" t="s">
        <v>310</v>
      </c>
      <c r="AT6" s="491" t="s">
        <v>259</v>
      </c>
      <c r="AU6" s="492"/>
      <c r="AV6" s="300" t="s">
        <v>103</v>
      </c>
      <c r="AW6" s="301" t="s">
        <v>94</v>
      </c>
      <c r="AX6" s="298"/>
      <c r="AY6" s="299" t="s">
        <v>105</v>
      </c>
      <c r="AZ6" s="300" t="s">
        <v>310</v>
      </c>
      <c r="BA6" s="491" t="s">
        <v>259</v>
      </c>
      <c r="BB6" s="492"/>
      <c r="BC6" s="300" t="s">
        <v>103</v>
      </c>
      <c r="BD6" s="301" t="s">
        <v>94</v>
      </c>
      <c r="BE6" s="298"/>
      <c r="BF6" s="299" t="s">
        <v>105</v>
      </c>
      <c r="BG6" s="300" t="s">
        <v>310</v>
      </c>
      <c r="BH6" s="505" t="s">
        <v>259</v>
      </c>
      <c r="BI6" s="505"/>
      <c r="BJ6" s="300" t="s">
        <v>103</v>
      </c>
      <c r="BK6" s="301" t="s">
        <v>94</v>
      </c>
      <c r="BM6" s="299" t="s">
        <v>105</v>
      </c>
      <c r="BN6" s="300" t="s">
        <v>310</v>
      </c>
      <c r="BO6" s="491" t="s">
        <v>259</v>
      </c>
      <c r="BP6" s="492"/>
      <c r="BQ6" s="300" t="s">
        <v>103</v>
      </c>
      <c r="BR6" s="301" t="s">
        <v>94</v>
      </c>
      <c r="BT6" s="299" t="s">
        <v>105</v>
      </c>
      <c r="BU6" s="300" t="s">
        <v>310</v>
      </c>
      <c r="BV6" s="491" t="s">
        <v>259</v>
      </c>
      <c r="BW6" s="492"/>
      <c r="BX6" s="300" t="s">
        <v>103</v>
      </c>
      <c r="BY6" s="301" t="s">
        <v>94</v>
      </c>
      <c r="BZ6" s="298"/>
      <c r="CA6" s="299" t="s">
        <v>105</v>
      </c>
      <c r="CB6" s="300" t="s">
        <v>310</v>
      </c>
      <c r="CC6" s="491" t="s">
        <v>259</v>
      </c>
      <c r="CD6" s="492"/>
      <c r="CE6" s="300" t="s">
        <v>103</v>
      </c>
      <c r="CF6" s="301" t="s">
        <v>94</v>
      </c>
      <c r="CG6" s="298"/>
      <c r="CH6" s="299" t="s">
        <v>105</v>
      </c>
      <c r="CI6" s="300" t="s">
        <v>310</v>
      </c>
      <c r="CJ6" s="491" t="s">
        <v>259</v>
      </c>
      <c r="CK6" s="492"/>
      <c r="CL6" s="300" t="s">
        <v>103</v>
      </c>
      <c r="CM6" s="301" t="s">
        <v>94</v>
      </c>
      <c r="CN6" s="298"/>
      <c r="CO6" s="299" t="s">
        <v>105</v>
      </c>
      <c r="CP6" s="300" t="s">
        <v>310</v>
      </c>
      <c r="CQ6" s="491" t="s">
        <v>259</v>
      </c>
      <c r="CR6" s="492"/>
      <c r="CS6" s="300" t="s">
        <v>103</v>
      </c>
      <c r="CT6" s="301" t="s">
        <v>94</v>
      </c>
      <c r="CU6" s="298"/>
      <c r="CV6" s="299" t="s">
        <v>105</v>
      </c>
      <c r="CW6" s="300" t="s">
        <v>310</v>
      </c>
      <c r="CX6" s="491" t="s">
        <v>259</v>
      </c>
      <c r="CY6" s="492"/>
      <c r="CZ6" s="300" t="s">
        <v>103</v>
      </c>
      <c r="DA6" s="301" t="s">
        <v>94</v>
      </c>
      <c r="DB6" s="298"/>
      <c r="DC6" s="299" t="s">
        <v>105</v>
      </c>
      <c r="DD6" s="300" t="s">
        <v>310</v>
      </c>
      <c r="DE6" s="491" t="s">
        <v>259</v>
      </c>
      <c r="DF6" s="492"/>
      <c r="DG6" s="300" t="s">
        <v>103</v>
      </c>
      <c r="DH6" s="301" t="s">
        <v>94</v>
      </c>
      <c r="DI6" s="298"/>
      <c r="DJ6" s="299" t="s">
        <v>105</v>
      </c>
      <c r="DK6" s="300" t="s">
        <v>310</v>
      </c>
      <c r="DL6" s="491" t="s">
        <v>259</v>
      </c>
      <c r="DM6" s="492"/>
      <c r="DN6" s="300" t="s">
        <v>103</v>
      </c>
      <c r="DO6" s="301" t="s">
        <v>94</v>
      </c>
      <c r="DP6" s="298"/>
      <c r="DQ6" s="299" t="s">
        <v>105</v>
      </c>
      <c r="DR6" s="300" t="s">
        <v>310</v>
      </c>
      <c r="DS6" s="491" t="s">
        <v>259</v>
      </c>
      <c r="DT6" s="492"/>
      <c r="DU6" s="300" t="s">
        <v>103</v>
      </c>
      <c r="DV6" s="301" t="s">
        <v>94</v>
      </c>
      <c r="DX6" s="299" t="s">
        <v>105</v>
      </c>
      <c r="DY6" s="300" t="s">
        <v>310</v>
      </c>
      <c r="DZ6" s="505" t="s">
        <v>259</v>
      </c>
      <c r="EA6" s="505"/>
      <c r="EB6" s="300" t="s">
        <v>103</v>
      </c>
      <c r="EC6" s="301" t="s">
        <v>94</v>
      </c>
      <c r="EE6" s="299" t="s">
        <v>105</v>
      </c>
      <c r="EF6" s="300" t="s">
        <v>310</v>
      </c>
      <c r="EG6" s="491" t="s">
        <v>259</v>
      </c>
      <c r="EH6" s="492"/>
      <c r="EI6" s="300" t="s">
        <v>103</v>
      </c>
      <c r="EJ6" s="301" t="s">
        <v>94</v>
      </c>
      <c r="EK6" s="298"/>
      <c r="EL6" s="299" t="s">
        <v>105</v>
      </c>
      <c r="EM6" s="300" t="s">
        <v>310</v>
      </c>
      <c r="EN6" s="491" t="s">
        <v>259</v>
      </c>
      <c r="EO6" s="492"/>
      <c r="EP6" s="300" t="s">
        <v>103</v>
      </c>
      <c r="EQ6" s="301" t="s">
        <v>94</v>
      </c>
      <c r="ER6" s="298"/>
      <c r="ES6" s="299" t="s">
        <v>105</v>
      </c>
      <c r="ET6" s="300" t="s">
        <v>310</v>
      </c>
      <c r="EU6" s="491" t="s">
        <v>259</v>
      </c>
      <c r="EV6" s="492"/>
      <c r="EW6" s="300" t="s">
        <v>103</v>
      </c>
      <c r="EX6" s="301" t="s">
        <v>94</v>
      </c>
      <c r="EY6" s="298"/>
      <c r="EZ6" s="299" t="s">
        <v>105</v>
      </c>
      <c r="FA6" s="300" t="s">
        <v>310</v>
      </c>
      <c r="FB6" s="491" t="s">
        <v>259</v>
      </c>
      <c r="FC6" s="492"/>
      <c r="FD6" s="300" t="s">
        <v>103</v>
      </c>
      <c r="FE6" s="301" t="s">
        <v>94</v>
      </c>
      <c r="FF6" s="298"/>
      <c r="FG6" s="299" t="s">
        <v>105</v>
      </c>
      <c r="FH6" s="300" t="s">
        <v>310</v>
      </c>
      <c r="FI6" s="491" t="s">
        <v>259</v>
      </c>
      <c r="FJ6" s="492"/>
      <c r="FK6" s="300" t="s">
        <v>103</v>
      </c>
      <c r="FL6" s="301" t="s">
        <v>94</v>
      </c>
      <c r="FM6" s="298"/>
      <c r="FN6" s="299" t="s">
        <v>105</v>
      </c>
      <c r="FO6" s="300" t="s">
        <v>310</v>
      </c>
      <c r="FP6" s="491" t="s">
        <v>259</v>
      </c>
      <c r="FQ6" s="492"/>
      <c r="FR6" s="300" t="s">
        <v>103</v>
      </c>
      <c r="FS6" s="301" t="s">
        <v>94</v>
      </c>
      <c r="FT6" s="8"/>
      <c r="FU6" s="299" t="s">
        <v>105</v>
      </c>
      <c r="FV6" s="300" t="s">
        <v>310</v>
      </c>
      <c r="FW6" s="505" t="s">
        <v>259</v>
      </c>
      <c r="FX6" s="505"/>
      <c r="FY6" s="300" t="s">
        <v>103</v>
      </c>
      <c r="FZ6" s="301" t="s">
        <v>94</v>
      </c>
      <c r="GA6" s="298"/>
      <c r="GB6" s="299" t="s">
        <v>105</v>
      </c>
      <c r="GC6" s="300" t="s">
        <v>310</v>
      </c>
      <c r="GD6" s="491" t="s">
        <v>259</v>
      </c>
      <c r="GE6" s="492"/>
      <c r="GF6" s="300" t="s">
        <v>103</v>
      </c>
      <c r="GG6" s="301" t="s">
        <v>94</v>
      </c>
    </row>
    <row r="7" spans="2:189" ht="15">
      <c r="B7" s="302" t="s">
        <v>260</v>
      </c>
      <c r="C7" s="303" t="s">
        <v>28</v>
      </c>
      <c r="D7" s="481" t="s">
        <v>261</v>
      </c>
      <c r="E7" s="482"/>
      <c r="F7" s="304">
        <v>3819.9</v>
      </c>
      <c r="G7" s="321" t="s">
        <v>104</v>
      </c>
      <c r="I7" s="302" t="s">
        <v>260</v>
      </c>
      <c r="J7" s="303"/>
      <c r="K7" s="481" t="s">
        <v>261</v>
      </c>
      <c r="L7" s="482"/>
      <c r="M7" s="304">
        <v>5252.2</v>
      </c>
      <c r="N7" s="321" t="s">
        <v>104</v>
      </c>
      <c r="O7" s="298"/>
      <c r="P7" s="302" t="s">
        <v>260</v>
      </c>
      <c r="Q7" s="376"/>
      <c r="R7" s="481" t="s">
        <v>261</v>
      </c>
      <c r="S7" s="482"/>
      <c r="T7" s="304">
        <v>5080.68</v>
      </c>
      <c r="U7" s="321" t="s">
        <v>104</v>
      </c>
      <c r="V7" s="298"/>
      <c r="W7" s="302" t="s">
        <v>260</v>
      </c>
      <c r="X7" s="303"/>
      <c r="Y7" s="481" t="s">
        <v>261</v>
      </c>
      <c r="Z7" s="482"/>
      <c r="AA7" s="304">
        <v>7644.13</v>
      </c>
      <c r="AB7" s="321" t="s">
        <v>104</v>
      </c>
      <c r="AC7" s="298"/>
      <c r="AD7" s="302" t="s">
        <v>260</v>
      </c>
      <c r="AE7" s="303"/>
      <c r="AF7" s="481" t="s">
        <v>261</v>
      </c>
      <c r="AG7" s="482"/>
      <c r="AH7" s="304">
        <v>5208.09</v>
      </c>
      <c r="AI7" s="321" t="s">
        <v>104</v>
      </c>
      <c r="AJ7" s="298"/>
      <c r="AK7" s="302" t="s">
        <v>260</v>
      </c>
      <c r="AL7" s="303"/>
      <c r="AM7" s="481" t="s">
        <v>261</v>
      </c>
      <c r="AN7" s="482"/>
      <c r="AO7" s="304">
        <v>5325.39</v>
      </c>
      <c r="AP7" s="321" t="s">
        <v>104</v>
      </c>
      <c r="AQ7" s="298"/>
      <c r="AR7" s="302" t="s">
        <v>260</v>
      </c>
      <c r="AS7" s="303"/>
      <c r="AT7" s="481" t="s">
        <v>261</v>
      </c>
      <c r="AU7" s="482"/>
      <c r="AV7" s="304">
        <v>5974.38</v>
      </c>
      <c r="AW7" s="321" t="s">
        <v>104</v>
      </c>
      <c r="AX7" s="298"/>
      <c r="AY7" s="302" t="s">
        <v>260</v>
      </c>
      <c r="AZ7" s="303"/>
      <c r="BA7" s="481" t="s">
        <v>261</v>
      </c>
      <c r="BB7" s="482"/>
      <c r="BC7" s="304">
        <v>6604.78</v>
      </c>
      <c r="BD7" s="321" t="s">
        <v>104</v>
      </c>
      <c r="BE7" s="298"/>
      <c r="BF7" s="302" t="s">
        <v>260</v>
      </c>
      <c r="BG7" s="303"/>
      <c r="BH7" s="504" t="s">
        <v>261</v>
      </c>
      <c r="BI7" s="504"/>
      <c r="BJ7" s="304">
        <v>6425.53</v>
      </c>
      <c r="BK7" s="321" t="s">
        <v>104</v>
      </c>
      <c r="BM7" s="302" t="s">
        <v>260</v>
      </c>
      <c r="BN7" s="303"/>
      <c r="BO7" s="481" t="s">
        <v>261</v>
      </c>
      <c r="BP7" s="482"/>
      <c r="BQ7" s="304">
        <v>2328.08</v>
      </c>
      <c r="BR7" s="321" t="s">
        <v>104</v>
      </c>
      <c r="BT7" s="302" t="s">
        <v>260</v>
      </c>
      <c r="BU7" s="303"/>
      <c r="BV7" s="481" t="s">
        <v>261</v>
      </c>
      <c r="BW7" s="482"/>
      <c r="BX7" s="304">
        <v>3659.06</v>
      </c>
      <c r="BY7" s="321" t="s">
        <v>104</v>
      </c>
      <c r="BZ7" s="298"/>
      <c r="CA7" s="302" t="s">
        <v>260</v>
      </c>
      <c r="CB7" s="303"/>
      <c r="CC7" s="481" t="s">
        <v>261</v>
      </c>
      <c r="CD7" s="482"/>
      <c r="CE7" s="304">
        <v>7492.35</v>
      </c>
      <c r="CF7" s="321" t="s">
        <v>104</v>
      </c>
      <c r="CG7" s="298"/>
      <c r="CH7" s="302" t="s">
        <v>260</v>
      </c>
      <c r="CI7" s="303"/>
      <c r="CJ7" s="481" t="s">
        <v>261</v>
      </c>
      <c r="CK7" s="482"/>
      <c r="CL7" s="304">
        <v>4045.63</v>
      </c>
      <c r="CM7" s="321" t="s">
        <v>104</v>
      </c>
      <c r="CN7" s="298"/>
      <c r="CO7" s="302" t="s">
        <v>260</v>
      </c>
      <c r="CP7" s="303"/>
      <c r="CQ7" s="481" t="s">
        <v>261</v>
      </c>
      <c r="CR7" s="482"/>
      <c r="CS7" s="304">
        <v>6659.25</v>
      </c>
      <c r="CT7" s="321" t="s">
        <v>104</v>
      </c>
      <c r="CU7" s="298"/>
      <c r="CV7" s="302" t="s">
        <v>260</v>
      </c>
      <c r="CW7" s="303"/>
      <c r="CX7" s="481" t="s">
        <v>261</v>
      </c>
      <c r="CY7" s="482"/>
      <c r="CZ7" s="304">
        <v>9641.69</v>
      </c>
      <c r="DA7" s="321" t="s">
        <v>104</v>
      </c>
      <c r="DB7" s="298"/>
      <c r="DC7" s="302" t="s">
        <v>260</v>
      </c>
      <c r="DD7" s="303"/>
      <c r="DE7" s="481" t="s">
        <v>261</v>
      </c>
      <c r="DF7" s="482"/>
      <c r="DG7" s="304">
        <v>7747.15</v>
      </c>
      <c r="DH7" s="321" t="s">
        <v>104</v>
      </c>
      <c r="DI7" s="298"/>
      <c r="DJ7" s="302" t="s">
        <v>260</v>
      </c>
      <c r="DK7" s="303"/>
      <c r="DL7" s="481" t="s">
        <v>261</v>
      </c>
      <c r="DM7" s="482"/>
      <c r="DN7" s="304">
        <v>9380.03</v>
      </c>
      <c r="DO7" s="321" t="s">
        <v>104</v>
      </c>
      <c r="DP7" s="298"/>
      <c r="DQ7" s="302" t="s">
        <v>260</v>
      </c>
      <c r="DR7" s="303"/>
      <c r="DS7" s="481" t="s">
        <v>261</v>
      </c>
      <c r="DT7" s="482"/>
      <c r="DU7" s="304">
        <v>8461.31</v>
      </c>
      <c r="DV7" s="321" t="s">
        <v>104</v>
      </c>
      <c r="DX7" s="302" t="s">
        <v>260</v>
      </c>
      <c r="DY7" s="303"/>
      <c r="DZ7" s="504" t="s">
        <v>261</v>
      </c>
      <c r="EA7" s="504"/>
      <c r="EB7" s="304">
        <v>6425.53</v>
      </c>
      <c r="EC7" s="321" t="s">
        <v>104</v>
      </c>
      <c r="EE7" s="302" t="s">
        <v>260</v>
      </c>
      <c r="EF7" s="303"/>
      <c r="EG7" s="481" t="s">
        <v>261</v>
      </c>
      <c r="EH7" s="482"/>
      <c r="EI7" s="304">
        <v>3614.45</v>
      </c>
      <c r="EJ7" s="321" t="s">
        <v>104</v>
      </c>
      <c r="EK7" s="298"/>
      <c r="EL7" s="302" t="s">
        <v>260</v>
      </c>
      <c r="EM7" s="303"/>
      <c r="EN7" s="481" t="s">
        <v>261</v>
      </c>
      <c r="EO7" s="482"/>
      <c r="EP7" s="304">
        <v>4171.42</v>
      </c>
      <c r="EQ7" s="321" t="s">
        <v>104</v>
      </c>
      <c r="ER7" s="298"/>
      <c r="ES7" s="302" t="s">
        <v>260</v>
      </c>
      <c r="ET7" s="303"/>
      <c r="EU7" s="481" t="s">
        <v>261</v>
      </c>
      <c r="EV7" s="482"/>
      <c r="EW7" s="304">
        <v>7414.64</v>
      </c>
      <c r="EX7" s="321" t="s">
        <v>104</v>
      </c>
      <c r="EY7" s="298"/>
      <c r="EZ7" s="302" t="s">
        <v>260</v>
      </c>
      <c r="FA7" s="303"/>
      <c r="FB7" s="481" t="s">
        <v>261</v>
      </c>
      <c r="FC7" s="482"/>
      <c r="FD7" s="304">
        <v>6528.99</v>
      </c>
      <c r="FE7" s="321" t="s">
        <v>104</v>
      </c>
      <c r="FF7" s="298"/>
      <c r="FG7" s="302" t="s">
        <v>260</v>
      </c>
      <c r="FH7" s="303"/>
      <c r="FI7" s="481" t="s">
        <v>261</v>
      </c>
      <c r="FJ7" s="482"/>
      <c r="FK7" s="304">
        <v>5609.94</v>
      </c>
      <c r="FL7" s="321" t="s">
        <v>104</v>
      </c>
      <c r="FM7" s="298"/>
      <c r="FN7" s="302" t="s">
        <v>260</v>
      </c>
      <c r="FO7" s="303"/>
      <c r="FP7" s="481" t="s">
        <v>261</v>
      </c>
      <c r="FQ7" s="482"/>
      <c r="FR7" s="304">
        <v>6458.21</v>
      </c>
      <c r="FS7" s="321" t="s">
        <v>104</v>
      </c>
      <c r="FT7" s="342"/>
      <c r="FU7" s="302" t="s">
        <v>260</v>
      </c>
      <c r="FV7" s="303"/>
      <c r="FW7" s="504" t="s">
        <v>261</v>
      </c>
      <c r="FX7" s="504"/>
      <c r="FY7" s="304">
        <v>6775.79</v>
      </c>
      <c r="FZ7" s="321" t="s">
        <v>104</v>
      </c>
      <c r="GA7" s="298"/>
      <c r="GB7" s="302" t="s">
        <v>260</v>
      </c>
      <c r="GC7" s="303" t="s">
        <v>28</v>
      </c>
      <c r="GD7" s="481" t="s">
        <v>261</v>
      </c>
      <c r="GE7" s="482"/>
      <c r="GF7" s="304">
        <v>3819.9</v>
      </c>
      <c r="GG7" s="321" t="s">
        <v>104</v>
      </c>
    </row>
    <row r="8" spans="2:189" ht="15">
      <c r="B8" s="302" t="s">
        <v>264</v>
      </c>
      <c r="C8" s="303"/>
      <c r="D8" s="481" t="s">
        <v>265</v>
      </c>
      <c r="E8" s="482"/>
      <c r="F8" s="304">
        <v>6179.63</v>
      </c>
      <c r="G8" s="321" t="s">
        <v>104</v>
      </c>
      <c r="I8" s="302" t="s">
        <v>264</v>
      </c>
      <c r="J8" s="303"/>
      <c r="K8" s="481" t="s">
        <v>265</v>
      </c>
      <c r="L8" s="482"/>
      <c r="M8" s="304">
        <v>3123.08</v>
      </c>
      <c r="N8" s="321" t="s">
        <v>104</v>
      </c>
      <c r="O8" s="298"/>
      <c r="P8" s="302" t="s">
        <v>264</v>
      </c>
      <c r="Q8" s="303"/>
      <c r="R8" s="481" t="s">
        <v>265</v>
      </c>
      <c r="S8" s="482"/>
      <c r="T8" s="304">
        <v>4716.3</v>
      </c>
      <c r="U8" s="321" t="s">
        <v>104</v>
      </c>
      <c r="V8" s="298"/>
      <c r="W8" s="302" t="s">
        <v>264</v>
      </c>
      <c r="X8" s="303"/>
      <c r="Y8" s="481" t="s">
        <v>265</v>
      </c>
      <c r="Z8" s="482"/>
      <c r="AA8" s="304">
        <v>7523.34</v>
      </c>
      <c r="AB8" s="321" t="s">
        <v>104</v>
      </c>
      <c r="AC8" s="298"/>
      <c r="AD8" s="302" t="s">
        <v>264</v>
      </c>
      <c r="AE8" s="303"/>
      <c r="AF8" s="481" t="s">
        <v>265</v>
      </c>
      <c r="AG8" s="482"/>
      <c r="AH8" s="304">
        <v>4831.21</v>
      </c>
      <c r="AI8" s="321" t="s">
        <v>104</v>
      </c>
      <c r="AJ8" s="298"/>
      <c r="AK8" s="302" t="s">
        <v>264</v>
      </c>
      <c r="AL8" s="303"/>
      <c r="AM8" s="481" t="s">
        <v>265</v>
      </c>
      <c r="AN8" s="482"/>
      <c r="AO8" s="304">
        <v>10150.14</v>
      </c>
      <c r="AP8" s="321" t="s">
        <v>104</v>
      </c>
      <c r="AQ8" s="298"/>
      <c r="AR8" s="302" t="s">
        <v>264</v>
      </c>
      <c r="AS8" s="303"/>
      <c r="AT8" s="481" t="s">
        <v>265</v>
      </c>
      <c r="AU8" s="482"/>
      <c r="AV8" s="304">
        <v>8606.36</v>
      </c>
      <c r="AW8" s="321" t="s">
        <v>104</v>
      </c>
      <c r="AX8" s="298"/>
      <c r="AY8" s="302" t="s">
        <v>264</v>
      </c>
      <c r="AZ8" s="303"/>
      <c r="BA8" s="481" t="s">
        <v>265</v>
      </c>
      <c r="BB8" s="482"/>
      <c r="BC8" s="304">
        <v>4701.49</v>
      </c>
      <c r="BD8" s="321" t="s">
        <v>104</v>
      </c>
      <c r="BE8" s="298"/>
      <c r="BF8" s="302" t="s">
        <v>264</v>
      </c>
      <c r="BG8" s="303"/>
      <c r="BH8" s="504" t="s">
        <v>265</v>
      </c>
      <c r="BI8" s="504"/>
      <c r="BJ8" s="304">
        <v>5757.73</v>
      </c>
      <c r="BK8" s="321" t="s">
        <v>104</v>
      </c>
      <c r="BM8" s="302" t="s">
        <v>264</v>
      </c>
      <c r="BN8" s="303"/>
      <c r="BO8" s="481" t="s">
        <v>265</v>
      </c>
      <c r="BP8" s="482"/>
      <c r="BQ8" s="304">
        <v>4815.27</v>
      </c>
      <c r="BR8" s="321" t="s">
        <v>104</v>
      </c>
      <c r="BT8" s="302" t="s">
        <v>264</v>
      </c>
      <c r="BU8" s="303"/>
      <c r="BV8" s="481" t="s">
        <v>265</v>
      </c>
      <c r="BW8" s="482"/>
      <c r="BX8" s="304">
        <v>3387.34</v>
      </c>
      <c r="BY8" s="321" t="s">
        <v>104</v>
      </c>
      <c r="BZ8" s="298"/>
      <c r="CA8" s="302" t="s">
        <v>264</v>
      </c>
      <c r="CB8" s="303"/>
      <c r="CC8" s="481" t="s">
        <v>265</v>
      </c>
      <c r="CD8" s="482"/>
      <c r="CE8" s="304">
        <v>6791.72</v>
      </c>
      <c r="CF8" s="321" t="s">
        <v>104</v>
      </c>
      <c r="CG8" s="298"/>
      <c r="CH8" s="302" t="s">
        <v>264</v>
      </c>
      <c r="CI8" s="303"/>
      <c r="CJ8" s="481" t="s">
        <v>265</v>
      </c>
      <c r="CK8" s="482"/>
      <c r="CL8" s="304">
        <v>4080.21</v>
      </c>
      <c r="CM8" s="321" t="s">
        <v>104</v>
      </c>
      <c r="CN8" s="298"/>
      <c r="CO8" s="302" t="s">
        <v>264</v>
      </c>
      <c r="CP8" s="303"/>
      <c r="CQ8" s="481" t="s">
        <v>265</v>
      </c>
      <c r="CR8" s="482"/>
      <c r="CS8" s="304">
        <v>5625.07</v>
      </c>
      <c r="CT8" s="321" t="s">
        <v>104</v>
      </c>
      <c r="CU8" s="298"/>
      <c r="CV8" s="302" t="s">
        <v>264</v>
      </c>
      <c r="CW8" s="303"/>
      <c r="CX8" s="481" t="s">
        <v>265</v>
      </c>
      <c r="CY8" s="482"/>
      <c r="CZ8" s="304">
        <v>8704.81</v>
      </c>
      <c r="DA8" s="321" t="s">
        <v>104</v>
      </c>
      <c r="DB8" s="298"/>
      <c r="DC8" s="302" t="s">
        <v>264</v>
      </c>
      <c r="DD8" s="303"/>
      <c r="DE8" s="481" t="s">
        <v>265</v>
      </c>
      <c r="DF8" s="482"/>
      <c r="DG8" s="304">
        <v>7173.24</v>
      </c>
      <c r="DH8" s="321" t="s">
        <v>104</v>
      </c>
      <c r="DI8" s="298"/>
      <c r="DJ8" s="302" t="s">
        <v>264</v>
      </c>
      <c r="DK8" s="303"/>
      <c r="DL8" s="481" t="s">
        <v>265</v>
      </c>
      <c r="DM8" s="482"/>
      <c r="DN8" s="304">
        <v>6508.42</v>
      </c>
      <c r="DO8" s="321" t="s">
        <v>104</v>
      </c>
      <c r="DP8" s="298"/>
      <c r="DQ8" s="302" t="s">
        <v>264</v>
      </c>
      <c r="DR8" s="303"/>
      <c r="DS8" s="481" t="s">
        <v>265</v>
      </c>
      <c r="DT8" s="482"/>
      <c r="DU8" s="304">
        <v>4824.24</v>
      </c>
      <c r="DV8" s="321" t="s">
        <v>104</v>
      </c>
      <c r="DX8" s="302" t="s">
        <v>264</v>
      </c>
      <c r="DY8" s="303"/>
      <c r="DZ8" s="504" t="s">
        <v>265</v>
      </c>
      <c r="EA8" s="504"/>
      <c r="EB8" s="304">
        <v>5757.73</v>
      </c>
      <c r="EC8" s="321" t="s">
        <v>104</v>
      </c>
      <c r="EE8" s="302" t="s">
        <v>264</v>
      </c>
      <c r="EF8" s="303"/>
      <c r="EG8" s="481" t="s">
        <v>265</v>
      </c>
      <c r="EH8" s="482"/>
      <c r="EI8" s="304">
        <v>3721.16</v>
      </c>
      <c r="EJ8" s="321" t="s">
        <v>104</v>
      </c>
      <c r="EK8" s="298"/>
      <c r="EL8" s="302" t="s">
        <v>264</v>
      </c>
      <c r="EM8" s="303"/>
      <c r="EN8" s="481" t="s">
        <v>265</v>
      </c>
      <c r="EO8" s="482"/>
      <c r="EP8" s="304">
        <v>5044.78</v>
      </c>
      <c r="EQ8" s="321" t="s">
        <v>104</v>
      </c>
      <c r="ER8" s="298"/>
      <c r="ES8" s="302" t="s">
        <v>264</v>
      </c>
      <c r="ET8" s="303"/>
      <c r="EU8" s="481" t="s">
        <v>265</v>
      </c>
      <c r="EV8" s="482"/>
      <c r="EW8" s="304">
        <v>3925.5</v>
      </c>
      <c r="EX8" s="321" t="s">
        <v>104</v>
      </c>
      <c r="EY8" s="298"/>
      <c r="EZ8" s="302" t="s">
        <v>264</v>
      </c>
      <c r="FA8" s="303"/>
      <c r="FB8" s="481" t="s">
        <v>265</v>
      </c>
      <c r="FC8" s="482"/>
      <c r="FD8" s="304">
        <v>3894.68</v>
      </c>
      <c r="FE8" s="321" t="s">
        <v>104</v>
      </c>
      <c r="FF8" s="298"/>
      <c r="FG8" s="302" t="s">
        <v>264</v>
      </c>
      <c r="FH8" s="303"/>
      <c r="FI8" s="481" t="s">
        <v>265</v>
      </c>
      <c r="FJ8" s="482"/>
      <c r="FK8" s="304">
        <v>8460.55</v>
      </c>
      <c r="FL8" s="321" t="s">
        <v>104</v>
      </c>
      <c r="FM8" s="298"/>
      <c r="FN8" s="302" t="s">
        <v>264</v>
      </c>
      <c r="FO8" s="303"/>
      <c r="FP8" s="481" t="s">
        <v>265</v>
      </c>
      <c r="FQ8" s="482"/>
      <c r="FR8" s="304">
        <v>7415</v>
      </c>
      <c r="FS8" s="321" t="s">
        <v>104</v>
      </c>
      <c r="FT8" s="342"/>
      <c r="FU8" s="302" t="s">
        <v>264</v>
      </c>
      <c r="FV8" s="303"/>
      <c r="FW8" s="504" t="s">
        <v>265</v>
      </c>
      <c r="FX8" s="504"/>
      <c r="FY8" s="304">
        <v>5585.67</v>
      </c>
      <c r="FZ8" s="321" t="s">
        <v>104</v>
      </c>
      <c r="GA8" s="298"/>
      <c r="GB8" s="302" t="s">
        <v>264</v>
      </c>
      <c r="GC8" s="303"/>
      <c r="GD8" s="481" t="s">
        <v>265</v>
      </c>
      <c r="GE8" s="482"/>
      <c r="GF8" s="304">
        <v>6179.63</v>
      </c>
      <c r="GG8" s="321" t="s">
        <v>104</v>
      </c>
    </row>
    <row r="9" spans="2:189" ht="15">
      <c r="B9" s="302" t="s">
        <v>266</v>
      </c>
      <c r="C9" s="303"/>
      <c r="D9" s="481" t="s">
        <v>267</v>
      </c>
      <c r="E9" s="482"/>
      <c r="F9" s="304">
        <v>6075.83</v>
      </c>
      <c r="G9" s="321" t="s">
        <v>104</v>
      </c>
      <c r="I9" s="302" t="s">
        <v>266</v>
      </c>
      <c r="J9" s="303"/>
      <c r="K9" s="481" t="s">
        <v>267</v>
      </c>
      <c r="L9" s="482"/>
      <c r="M9" s="304">
        <v>5406.29</v>
      </c>
      <c r="N9" s="321" t="s">
        <v>104</v>
      </c>
      <c r="O9" s="298"/>
      <c r="P9" s="302" t="s">
        <v>266</v>
      </c>
      <c r="Q9" s="303"/>
      <c r="R9" s="481" t="s">
        <v>267</v>
      </c>
      <c r="S9" s="482"/>
      <c r="T9" s="304">
        <v>8178.12</v>
      </c>
      <c r="U9" s="321" t="s">
        <v>104</v>
      </c>
      <c r="V9" s="298"/>
      <c r="W9" s="302" t="s">
        <v>266</v>
      </c>
      <c r="X9" s="303"/>
      <c r="Y9" s="481" t="s">
        <v>267</v>
      </c>
      <c r="Z9" s="482"/>
      <c r="AA9" s="304">
        <v>7231.71</v>
      </c>
      <c r="AB9" s="321" t="s">
        <v>104</v>
      </c>
      <c r="AC9" s="298"/>
      <c r="AD9" s="302" t="s">
        <v>266</v>
      </c>
      <c r="AE9" s="303"/>
      <c r="AF9" s="481" t="s">
        <v>267</v>
      </c>
      <c r="AG9" s="482"/>
      <c r="AH9" s="304">
        <v>9358.01</v>
      </c>
      <c r="AI9" s="321" t="s">
        <v>104</v>
      </c>
      <c r="AJ9" s="298"/>
      <c r="AK9" s="302" t="s">
        <v>266</v>
      </c>
      <c r="AL9" s="303"/>
      <c r="AM9" s="481" t="s">
        <v>267</v>
      </c>
      <c r="AN9" s="482"/>
      <c r="AO9" s="304">
        <v>5166.69</v>
      </c>
      <c r="AP9" s="321" t="s">
        <v>104</v>
      </c>
      <c r="AQ9" s="298"/>
      <c r="AR9" s="302" t="s">
        <v>266</v>
      </c>
      <c r="AS9" s="303"/>
      <c r="AT9" s="481" t="s">
        <v>267</v>
      </c>
      <c r="AU9" s="482"/>
      <c r="AV9" s="304">
        <v>5068.09</v>
      </c>
      <c r="AW9" s="321" t="s">
        <v>104</v>
      </c>
      <c r="AX9" s="298"/>
      <c r="AY9" s="302" t="s">
        <v>266</v>
      </c>
      <c r="AZ9" s="303"/>
      <c r="BA9" s="481" t="s">
        <v>267</v>
      </c>
      <c r="BB9" s="482"/>
      <c r="BC9" s="304">
        <v>7357.7</v>
      </c>
      <c r="BD9" s="321" t="s">
        <v>104</v>
      </c>
      <c r="BE9" s="298"/>
      <c r="BF9" s="302" t="s">
        <v>266</v>
      </c>
      <c r="BG9" s="303"/>
      <c r="BH9" s="504" t="s">
        <v>267</v>
      </c>
      <c r="BI9" s="504"/>
      <c r="BJ9" s="304">
        <v>6804.57</v>
      </c>
      <c r="BK9" s="321" t="s">
        <v>104</v>
      </c>
      <c r="BM9" s="302" t="s">
        <v>266</v>
      </c>
      <c r="BN9" s="303"/>
      <c r="BO9" s="481" t="s">
        <v>267</v>
      </c>
      <c r="BP9" s="482"/>
      <c r="BQ9" s="304">
        <v>3909.71</v>
      </c>
      <c r="BR9" s="321" t="s">
        <v>104</v>
      </c>
      <c r="BT9" s="302" t="s">
        <v>266</v>
      </c>
      <c r="BU9" s="303"/>
      <c r="BV9" s="481" t="s">
        <v>267</v>
      </c>
      <c r="BW9" s="482"/>
      <c r="BX9" s="304">
        <v>2824.71</v>
      </c>
      <c r="BY9" s="321" t="s">
        <v>104</v>
      </c>
      <c r="BZ9" s="298"/>
      <c r="CA9" s="302" t="s">
        <v>266</v>
      </c>
      <c r="CB9" s="303"/>
      <c r="CC9" s="481" t="s">
        <v>267</v>
      </c>
      <c r="CD9" s="482"/>
      <c r="CE9" s="304">
        <v>7703.26</v>
      </c>
      <c r="CF9" s="321" t="s">
        <v>104</v>
      </c>
      <c r="CG9" s="298"/>
      <c r="CH9" s="302" t="s">
        <v>266</v>
      </c>
      <c r="CI9" s="303"/>
      <c r="CJ9" s="481" t="s">
        <v>267</v>
      </c>
      <c r="CK9" s="482"/>
      <c r="CL9" s="304">
        <v>4720.67</v>
      </c>
      <c r="CM9" s="321" t="s">
        <v>104</v>
      </c>
      <c r="CN9" s="298"/>
      <c r="CO9" s="302" t="s">
        <v>266</v>
      </c>
      <c r="CP9" s="303"/>
      <c r="CQ9" s="481" t="s">
        <v>267</v>
      </c>
      <c r="CR9" s="482"/>
      <c r="CS9" s="304">
        <v>5672.47</v>
      </c>
      <c r="CT9" s="321" t="s">
        <v>104</v>
      </c>
      <c r="CU9" s="298"/>
      <c r="CV9" s="302" t="s">
        <v>266</v>
      </c>
      <c r="CW9" s="303"/>
      <c r="CX9" s="481" t="s">
        <v>267</v>
      </c>
      <c r="CY9" s="482"/>
      <c r="CZ9" s="304">
        <v>8216.4</v>
      </c>
      <c r="DA9" s="321" t="s">
        <v>104</v>
      </c>
      <c r="DB9" s="298"/>
      <c r="DC9" s="302" t="s">
        <v>266</v>
      </c>
      <c r="DD9" s="303"/>
      <c r="DE9" s="481" t="s">
        <v>267</v>
      </c>
      <c r="DF9" s="482"/>
      <c r="DG9" s="304">
        <v>7209.29</v>
      </c>
      <c r="DH9" s="321" t="s">
        <v>104</v>
      </c>
      <c r="DI9" s="298"/>
      <c r="DJ9" s="302" t="s">
        <v>266</v>
      </c>
      <c r="DK9" s="303"/>
      <c r="DL9" s="481" t="s">
        <v>267</v>
      </c>
      <c r="DM9" s="482"/>
      <c r="DN9" s="304">
        <v>5302.94</v>
      </c>
      <c r="DO9" s="321" t="s">
        <v>104</v>
      </c>
      <c r="DP9" s="298"/>
      <c r="DQ9" s="302" t="s">
        <v>266</v>
      </c>
      <c r="DR9" s="303"/>
      <c r="DS9" s="481" t="s">
        <v>267</v>
      </c>
      <c r="DT9" s="482"/>
      <c r="DU9" s="304">
        <v>5490.06</v>
      </c>
      <c r="DV9" s="321" t="s">
        <v>104</v>
      </c>
      <c r="DX9" s="302" t="s">
        <v>266</v>
      </c>
      <c r="DY9" s="303"/>
      <c r="DZ9" s="504" t="s">
        <v>267</v>
      </c>
      <c r="EA9" s="504"/>
      <c r="EB9" s="304">
        <v>6804.57</v>
      </c>
      <c r="EC9" s="321" t="s">
        <v>104</v>
      </c>
      <c r="EE9" s="302" t="s">
        <v>266</v>
      </c>
      <c r="EF9" s="303"/>
      <c r="EG9" s="481" t="s">
        <v>267</v>
      </c>
      <c r="EH9" s="482"/>
      <c r="EI9" s="304">
        <v>3334.85</v>
      </c>
      <c r="EJ9" s="321" t="s">
        <v>104</v>
      </c>
      <c r="EK9" s="298"/>
      <c r="EL9" s="302" t="s">
        <v>266</v>
      </c>
      <c r="EM9" s="303"/>
      <c r="EN9" s="481" t="s">
        <v>267</v>
      </c>
      <c r="EO9" s="482"/>
      <c r="EP9" s="304">
        <v>4718.96</v>
      </c>
      <c r="EQ9" s="321" t="s">
        <v>104</v>
      </c>
      <c r="ER9" s="298"/>
      <c r="ES9" s="302" t="s">
        <v>266</v>
      </c>
      <c r="ET9" s="303"/>
      <c r="EU9" s="481" t="s">
        <v>267</v>
      </c>
      <c r="EV9" s="482"/>
      <c r="EW9" s="304">
        <v>3986.5</v>
      </c>
      <c r="EX9" s="321" t="s">
        <v>104</v>
      </c>
      <c r="EY9" s="298"/>
      <c r="EZ9" s="302" t="s">
        <v>266</v>
      </c>
      <c r="FA9" s="303"/>
      <c r="FB9" s="481" t="s">
        <v>267</v>
      </c>
      <c r="FC9" s="482"/>
      <c r="FD9" s="304">
        <v>5940.81</v>
      </c>
      <c r="FE9" s="321" t="s">
        <v>104</v>
      </c>
      <c r="FF9" s="298"/>
      <c r="FG9" s="302" t="s">
        <v>266</v>
      </c>
      <c r="FH9" s="303"/>
      <c r="FI9" s="481" t="s">
        <v>267</v>
      </c>
      <c r="FJ9" s="482"/>
      <c r="FK9" s="304">
        <v>9206.02</v>
      </c>
      <c r="FL9" s="321" t="s">
        <v>104</v>
      </c>
      <c r="FM9" s="298"/>
      <c r="FN9" s="302" t="s">
        <v>266</v>
      </c>
      <c r="FO9" s="303"/>
      <c r="FP9" s="481" t="s">
        <v>267</v>
      </c>
      <c r="FQ9" s="482"/>
      <c r="FR9" s="304">
        <v>11423.8</v>
      </c>
      <c r="FS9" s="321" t="s">
        <v>104</v>
      </c>
      <c r="FT9" s="342"/>
      <c r="FU9" s="302" t="s">
        <v>266</v>
      </c>
      <c r="FV9" s="303"/>
      <c r="FW9" s="504" t="s">
        <v>267</v>
      </c>
      <c r="FX9" s="504"/>
      <c r="FY9" s="304">
        <v>5135.99</v>
      </c>
      <c r="FZ9" s="321" t="s">
        <v>104</v>
      </c>
      <c r="GA9" s="298"/>
      <c r="GB9" s="302" t="s">
        <v>266</v>
      </c>
      <c r="GC9" s="303"/>
      <c r="GD9" s="481" t="s">
        <v>267</v>
      </c>
      <c r="GE9" s="482"/>
      <c r="GF9" s="304">
        <v>6075.83</v>
      </c>
      <c r="GG9" s="321" t="s">
        <v>104</v>
      </c>
    </row>
    <row r="10" spans="2:189" ht="15.75" thickBot="1">
      <c r="B10" s="302" t="s">
        <v>268</v>
      </c>
      <c r="C10" s="303"/>
      <c r="D10" s="481" t="s">
        <v>269</v>
      </c>
      <c r="E10" s="482"/>
      <c r="F10" s="304">
        <v>10393.89</v>
      </c>
      <c r="G10" s="321" t="s">
        <v>104</v>
      </c>
      <c r="I10" s="318" t="s">
        <v>268</v>
      </c>
      <c r="J10" s="319"/>
      <c r="K10" s="483" t="s">
        <v>269</v>
      </c>
      <c r="L10" s="484"/>
      <c r="M10" s="311">
        <v>4468.87</v>
      </c>
      <c r="N10" s="322" t="s">
        <v>104</v>
      </c>
      <c r="O10" s="298"/>
      <c r="P10" s="302" t="s">
        <v>268</v>
      </c>
      <c r="Q10" s="303"/>
      <c r="R10" s="481" t="s">
        <v>269</v>
      </c>
      <c r="S10" s="482"/>
      <c r="T10" s="304">
        <v>8930.63</v>
      </c>
      <c r="U10" s="321" t="s">
        <v>104</v>
      </c>
      <c r="V10" s="298"/>
      <c r="W10" s="302" t="s">
        <v>268</v>
      </c>
      <c r="X10" s="303"/>
      <c r="Y10" s="481" t="s">
        <v>269</v>
      </c>
      <c r="Z10" s="482"/>
      <c r="AA10" s="304">
        <v>7200.97</v>
      </c>
      <c r="AB10" s="321" t="s">
        <v>104</v>
      </c>
      <c r="AC10" s="298"/>
      <c r="AD10" s="302" t="s">
        <v>268</v>
      </c>
      <c r="AE10" s="303"/>
      <c r="AF10" s="481" t="s">
        <v>269</v>
      </c>
      <c r="AG10" s="482"/>
      <c r="AH10" s="304">
        <v>6074.58</v>
      </c>
      <c r="AI10" s="321" t="s">
        <v>104</v>
      </c>
      <c r="AJ10" s="298"/>
      <c r="AK10" s="318" t="s">
        <v>268</v>
      </c>
      <c r="AL10" s="319"/>
      <c r="AM10" s="483" t="s">
        <v>269</v>
      </c>
      <c r="AN10" s="484"/>
      <c r="AO10" s="311">
        <v>5587.26</v>
      </c>
      <c r="AP10" s="322" t="s">
        <v>104</v>
      </c>
      <c r="AQ10" s="298"/>
      <c r="AR10" s="302" t="s">
        <v>268</v>
      </c>
      <c r="AS10" s="303"/>
      <c r="AT10" s="481" t="s">
        <v>269</v>
      </c>
      <c r="AU10" s="482"/>
      <c r="AV10" s="304">
        <v>5732.83</v>
      </c>
      <c r="AW10" s="321" t="s">
        <v>104</v>
      </c>
      <c r="AX10" s="298"/>
      <c r="AY10" s="302" t="s">
        <v>268</v>
      </c>
      <c r="AZ10" s="303"/>
      <c r="BA10" s="481" t="s">
        <v>269</v>
      </c>
      <c r="BB10" s="482"/>
      <c r="BC10" s="304">
        <v>7111.34</v>
      </c>
      <c r="BD10" s="321" t="s">
        <v>104</v>
      </c>
      <c r="BE10" s="298"/>
      <c r="BF10" s="302" t="s">
        <v>268</v>
      </c>
      <c r="BG10" s="303"/>
      <c r="BH10" s="504" t="s">
        <v>269</v>
      </c>
      <c r="BI10" s="504"/>
      <c r="BJ10" s="304">
        <v>6838.2</v>
      </c>
      <c r="BK10" s="321" t="s">
        <v>104</v>
      </c>
      <c r="BM10" s="302" t="s">
        <v>268</v>
      </c>
      <c r="BN10" s="303"/>
      <c r="BO10" s="481" t="s">
        <v>269</v>
      </c>
      <c r="BP10" s="482"/>
      <c r="BQ10" s="304">
        <v>5034.38</v>
      </c>
      <c r="BR10" s="321" t="s">
        <v>104</v>
      </c>
      <c r="BT10" s="302" t="s">
        <v>268</v>
      </c>
      <c r="BU10" s="303"/>
      <c r="BV10" s="481" t="s">
        <v>269</v>
      </c>
      <c r="BW10" s="482"/>
      <c r="BX10" s="304">
        <v>3660.39</v>
      </c>
      <c r="BY10" s="321" t="s">
        <v>104</v>
      </c>
      <c r="BZ10" s="298"/>
      <c r="CA10" s="302" t="s">
        <v>268</v>
      </c>
      <c r="CB10" s="303"/>
      <c r="CC10" s="481" t="s">
        <v>269</v>
      </c>
      <c r="CD10" s="482"/>
      <c r="CE10" s="304">
        <v>3434.93</v>
      </c>
      <c r="CF10" s="322" t="s">
        <v>104</v>
      </c>
      <c r="CG10" s="298"/>
      <c r="CH10" s="302" t="s">
        <v>268</v>
      </c>
      <c r="CI10" s="303"/>
      <c r="CJ10" s="481" t="s">
        <v>269</v>
      </c>
      <c r="CK10" s="482"/>
      <c r="CL10" s="304">
        <v>3683.73</v>
      </c>
      <c r="CM10" s="321" t="s">
        <v>104</v>
      </c>
      <c r="CN10" s="298"/>
      <c r="CO10" s="302" t="s">
        <v>268</v>
      </c>
      <c r="CP10" s="303"/>
      <c r="CQ10" s="481" t="s">
        <v>269</v>
      </c>
      <c r="CR10" s="482"/>
      <c r="CS10" s="304">
        <v>4605.61</v>
      </c>
      <c r="CT10" s="321" t="s">
        <v>104</v>
      </c>
      <c r="CU10" s="298"/>
      <c r="CV10" s="302" t="s">
        <v>268</v>
      </c>
      <c r="CW10" s="303"/>
      <c r="CX10" s="481" t="s">
        <v>269</v>
      </c>
      <c r="CY10" s="482"/>
      <c r="CZ10" s="304">
        <v>7679.05</v>
      </c>
      <c r="DA10" s="321" t="s">
        <v>104</v>
      </c>
      <c r="DB10" s="298"/>
      <c r="DC10" s="302" t="s">
        <v>268</v>
      </c>
      <c r="DD10" s="303"/>
      <c r="DE10" s="481" t="s">
        <v>269</v>
      </c>
      <c r="DF10" s="482"/>
      <c r="DG10" s="304">
        <v>7514.81</v>
      </c>
      <c r="DH10" s="321" t="s">
        <v>104</v>
      </c>
      <c r="DI10" s="298"/>
      <c r="DJ10" s="302" t="s">
        <v>268</v>
      </c>
      <c r="DK10" s="303"/>
      <c r="DL10" s="481" t="s">
        <v>269</v>
      </c>
      <c r="DM10" s="482"/>
      <c r="DN10" s="304">
        <v>8134.74</v>
      </c>
      <c r="DO10" s="321" t="s">
        <v>104</v>
      </c>
      <c r="DP10" s="298"/>
      <c r="DQ10" s="302" t="s">
        <v>268</v>
      </c>
      <c r="DR10" s="303"/>
      <c r="DS10" s="481" t="s">
        <v>269</v>
      </c>
      <c r="DT10" s="482"/>
      <c r="DU10" s="304">
        <v>6813.31</v>
      </c>
      <c r="DV10" s="321" t="s">
        <v>104</v>
      </c>
      <c r="DX10" s="302" t="s">
        <v>268</v>
      </c>
      <c r="DY10" s="303"/>
      <c r="DZ10" s="504" t="s">
        <v>269</v>
      </c>
      <c r="EA10" s="504"/>
      <c r="EB10" s="304">
        <v>6838.2</v>
      </c>
      <c r="EC10" s="321" t="s">
        <v>104</v>
      </c>
      <c r="EE10" s="318" t="s">
        <v>268</v>
      </c>
      <c r="EF10" s="319"/>
      <c r="EG10" s="504" t="s">
        <v>269</v>
      </c>
      <c r="EH10" s="504"/>
      <c r="EI10" s="304">
        <v>3915.47</v>
      </c>
      <c r="EJ10" s="321" t="s">
        <v>104</v>
      </c>
      <c r="EK10" s="298"/>
      <c r="EL10" s="302" t="s">
        <v>268</v>
      </c>
      <c r="EM10" s="303"/>
      <c r="EN10" s="481" t="s">
        <v>269</v>
      </c>
      <c r="EO10" s="482"/>
      <c r="EP10" s="304">
        <v>3655.82</v>
      </c>
      <c r="EQ10" s="321" t="s">
        <v>104</v>
      </c>
      <c r="ER10" s="298"/>
      <c r="ES10" s="302" t="s">
        <v>268</v>
      </c>
      <c r="ET10" s="303"/>
      <c r="EU10" s="481" t="s">
        <v>269</v>
      </c>
      <c r="EV10" s="482"/>
      <c r="EW10" s="304">
        <v>4871.03</v>
      </c>
      <c r="EX10" s="321" t="s">
        <v>104</v>
      </c>
      <c r="EY10" s="298"/>
      <c r="EZ10" s="302" t="s">
        <v>268</v>
      </c>
      <c r="FA10" s="303"/>
      <c r="FB10" s="481" t="s">
        <v>269</v>
      </c>
      <c r="FC10" s="482"/>
      <c r="FD10" s="304">
        <v>9716.66</v>
      </c>
      <c r="FE10" s="321" t="s">
        <v>104</v>
      </c>
      <c r="FF10" s="298"/>
      <c r="FG10" s="318" t="s">
        <v>268</v>
      </c>
      <c r="FH10" s="319"/>
      <c r="FI10" s="483" t="s">
        <v>269</v>
      </c>
      <c r="FJ10" s="484"/>
      <c r="FK10" s="311">
        <v>6373.02</v>
      </c>
      <c r="FL10" s="322" t="s">
        <v>104</v>
      </c>
      <c r="FM10" s="298"/>
      <c r="FN10" s="302" t="s">
        <v>268</v>
      </c>
      <c r="FO10" s="303"/>
      <c r="FP10" s="481" t="s">
        <v>269</v>
      </c>
      <c r="FQ10" s="482"/>
      <c r="FR10" s="304">
        <v>8334.43</v>
      </c>
      <c r="FS10" s="321" t="s">
        <v>104</v>
      </c>
      <c r="FT10" s="342"/>
      <c r="FU10" s="302" t="s">
        <v>268</v>
      </c>
      <c r="FV10" s="303"/>
      <c r="FW10" s="504" t="s">
        <v>269</v>
      </c>
      <c r="FX10" s="504"/>
      <c r="FY10" s="304">
        <v>8959.11</v>
      </c>
      <c r="FZ10" s="321" t="s">
        <v>104</v>
      </c>
      <c r="GA10" s="298"/>
      <c r="GB10" s="302" t="s">
        <v>268</v>
      </c>
      <c r="GC10" s="303"/>
      <c r="GD10" s="481" t="s">
        <v>269</v>
      </c>
      <c r="GE10" s="482"/>
      <c r="GF10" s="304">
        <v>10393.89</v>
      </c>
      <c r="GG10" s="321" t="s">
        <v>104</v>
      </c>
    </row>
    <row r="11" spans="2:189" ht="15.75" thickBot="1">
      <c r="B11" s="302" t="s">
        <v>272</v>
      </c>
      <c r="C11" s="303"/>
      <c r="D11" s="481" t="s">
        <v>273</v>
      </c>
      <c r="E11" s="482"/>
      <c r="F11" s="304">
        <v>5934.6</v>
      </c>
      <c r="G11" s="321" t="s">
        <v>104</v>
      </c>
      <c r="I11" s="485" t="s">
        <v>373</v>
      </c>
      <c r="J11" s="486"/>
      <c r="K11" s="486"/>
      <c r="L11" s="487"/>
      <c r="M11" s="323">
        <f>SUM(M7:M10)/1000</f>
        <v>18.250439999999998</v>
      </c>
      <c r="N11" s="324" t="s">
        <v>3</v>
      </c>
      <c r="O11" s="298"/>
      <c r="P11" s="302" t="s">
        <v>272</v>
      </c>
      <c r="Q11" s="303"/>
      <c r="R11" s="481" t="s">
        <v>273</v>
      </c>
      <c r="S11" s="482"/>
      <c r="T11" s="304">
        <v>7124.26</v>
      </c>
      <c r="U11" s="321" t="s">
        <v>104</v>
      </c>
      <c r="V11" s="298"/>
      <c r="W11" s="302" t="s">
        <v>272</v>
      </c>
      <c r="X11" s="303"/>
      <c r="Y11" s="481" t="s">
        <v>273</v>
      </c>
      <c r="Z11" s="482"/>
      <c r="AA11" s="304">
        <v>5583.24</v>
      </c>
      <c r="AB11" s="321" t="s">
        <v>104</v>
      </c>
      <c r="AC11" s="298"/>
      <c r="AD11" s="302" t="s">
        <v>272</v>
      </c>
      <c r="AE11" s="303"/>
      <c r="AF11" s="481" t="s">
        <v>273</v>
      </c>
      <c r="AG11" s="482"/>
      <c r="AH11" s="311">
        <v>5222.3</v>
      </c>
      <c r="AI11" s="321" t="s">
        <v>104</v>
      </c>
      <c r="AJ11" s="298"/>
      <c r="AK11" s="485" t="s">
        <v>373</v>
      </c>
      <c r="AL11" s="486"/>
      <c r="AM11" s="486"/>
      <c r="AN11" s="487"/>
      <c r="AO11" s="323">
        <f>SUM(AO7:AO10)/1000</f>
        <v>26.229479999999995</v>
      </c>
      <c r="AP11" s="324" t="s">
        <v>3</v>
      </c>
      <c r="AQ11" s="298"/>
      <c r="AR11" s="302" t="s">
        <v>272</v>
      </c>
      <c r="AS11" s="303"/>
      <c r="AT11" s="481" t="s">
        <v>273</v>
      </c>
      <c r="AU11" s="482"/>
      <c r="AV11" s="311">
        <v>6532.83</v>
      </c>
      <c r="AW11" s="321" t="s">
        <v>104</v>
      </c>
      <c r="AX11" s="298"/>
      <c r="AY11" s="302" t="s">
        <v>272</v>
      </c>
      <c r="AZ11" s="303"/>
      <c r="BA11" s="481" t="s">
        <v>273</v>
      </c>
      <c r="BB11" s="482"/>
      <c r="BC11" s="304">
        <v>4315.27</v>
      </c>
      <c r="BD11" s="321" t="s">
        <v>104</v>
      </c>
      <c r="BE11" s="298"/>
      <c r="BF11" s="302" t="s">
        <v>272</v>
      </c>
      <c r="BG11" s="303"/>
      <c r="BH11" s="504" t="s">
        <v>273</v>
      </c>
      <c r="BI11" s="504"/>
      <c r="BJ11" s="304">
        <v>6254.72</v>
      </c>
      <c r="BK11" s="321" t="s">
        <v>104</v>
      </c>
      <c r="BM11" s="318" t="s">
        <v>272</v>
      </c>
      <c r="BN11" s="319"/>
      <c r="BO11" s="483" t="s">
        <v>273</v>
      </c>
      <c r="BP11" s="484"/>
      <c r="BQ11" s="311">
        <v>4713.47</v>
      </c>
      <c r="BR11" s="322" t="s">
        <v>104</v>
      </c>
      <c r="BT11" s="302" t="s">
        <v>272</v>
      </c>
      <c r="BU11" s="303"/>
      <c r="BV11" s="481" t="s">
        <v>273</v>
      </c>
      <c r="BW11" s="482"/>
      <c r="BX11" s="304">
        <v>3939.26</v>
      </c>
      <c r="BY11" s="321" t="s">
        <v>104</v>
      </c>
      <c r="BZ11" s="298"/>
      <c r="CA11" s="302" t="s">
        <v>272</v>
      </c>
      <c r="CB11" s="303"/>
      <c r="CC11" s="481" t="s">
        <v>273</v>
      </c>
      <c r="CD11" s="482"/>
      <c r="CE11" s="346">
        <v>5460.57</v>
      </c>
      <c r="CF11" s="321" t="s">
        <v>104</v>
      </c>
      <c r="CG11" s="298"/>
      <c r="CH11" s="302" t="s">
        <v>272</v>
      </c>
      <c r="CI11" s="303"/>
      <c r="CJ11" s="481" t="s">
        <v>273</v>
      </c>
      <c r="CK11" s="482"/>
      <c r="CL11" s="304">
        <v>5063.67</v>
      </c>
      <c r="CM11" s="321" t="s">
        <v>104</v>
      </c>
      <c r="CN11" s="298"/>
      <c r="CO11" s="302" t="s">
        <v>272</v>
      </c>
      <c r="CP11" s="303"/>
      <c r="CQ11" s="481" t="s">
        <v>273</v>
      </c>
      <c r="CR11" s="482"/>
      <c r="CS11" s="304">
        <v>4555.95</v>
      </c>
      <c r="CT11" s="321" t="s">
        <v>104</v>
      </c>
      <c r="CU11" s="298"/>
      <c r="CV11" s="302" t="s">
        <v>272</v>
      </c>
      <c r="CW11" s="303"/>
      <c r="CX11" s="481" t="s">
        <v>273</v>
      </c>
      <c r="CY11" s="482"/>
      <c r="CZ11" s="304">
        <v>11053.75</v>
      </c>
      <c r="DA11" s="321" t="s">
        <v>104</v>
      </c>
      <c r="DB11" s="298"/>
      <c r="DC11" s="302" t="s">
        <v>272</v>
      </c>
      <c r="DD11" s="303"/>
      <c r="DE11" s="481" t="s">
        <v>273</v>
      </c>
      <c r="DF11" s="482"/>
      <c r="DG11" s="304">
        <v>7939.78</v>
      </c>
      <c r="DH11" s="321" t="s">
        <v>104</v>
      </c>
      <c r="DI11" s="298"/>
      <c r="DJ11" s="302" t="s">
        <v>272</v>
      </c>
      <c r="DK11" s="303"/>
      <c r="DL11" s="481" t="s">
        <v>273</v>
      </c>
      <c r="DM11" s="482"/>
      <c r="DN11" s="304">
        <v>6735.14</v>
      </c>
      <c r="DO11" s="321" t="s">
        <v>104</v>
      </c>
      <c r="DP11" s="298"/>
      <c r="DQ11" s="302" t="s">
        <v>272</v>
      </c>
      <c r="DR11" s="303"/>
      <c r="DS11" s="481" t="s">
        <v>273</v>
      </c>
      <c r="DT11" s="482"/>
      <c r="DU11" s="304">
        <v>6553.24</v>
      </c>
      <c r="DV11" s="321" t="s">
        <v>104</v>
      </c>
      <c r="DX11" s="302" t="s">
        <v>272</v>
      </c>
      <c r="DY11" s="303"/>
      <c r="DZ11" s="504" t="s">
        <v>273</v>
      </c>
      <c r="EA11" s="504"/>
      <c r="EB11" s="304">
        <v>6254.72</v>
      </c>
      <c r="EC11" s="321" t="s">
        <v>104</v>
      </c>
      <c r="EE11" s="318" t="s">
        <v>272</v>
      </c>
      <c r="EF11" s="319"/>
      <c r="EG11" s="504" t="s">
        <v>273</v>
      </c>
      <c r="EH11" s="504"/>
      <c r="EI11" s="304">
        <v>5970.99</v>
      </c>
      <c r="EJ11" s="321" t="s">
        <v>104</v>
      </c>
      <c r="EK11" s="298"/>
      <c r="EL11" s="318" t="s">
        <v>272</v>
      </c>
      <c r="EM11" s="319"/>
      <c r="EN11" s="483" t="s">
        <v>273</v>
      </c>
      <c r="EO11" s="484"/>
      <c r="EP11" s="311">
        <v>4350.08</v>
      </c>
      <c r="EQ11" s="322" t="s">
        <v>104</v>
      </c>
      <c r="ER11" s="298"/>
      <c r="ES11" s="302" t="s">
        <v>272</v>
      </c>
      <c r="ET11" s="303"/>
      <c r="EU11" s="481" t="s">
        <v>273</v>
      </c>
      <c r="EV11" s="482"/>
      <c r="EW11" s="304">
        <v>7108.2</v>
      </c>
      <c r="EX11" s="321" t="s">
        <v>104</v>
      </c>
      <c r="EY11" s="298"/>
      <c r="EZ11" s="302" t="s">
        <v>272</v>
      </c>
      <c r="FA11" s="303"/>
      <c r="FB11" s="481" t="s">
        <v>273</v>
      </c>
      <c r="FC11" s="482"/>
      <c r="FD11" s="304">
        <v>7925.49</v>
      </c>
      <c r="FE11" s="321" t="s">
        <v>104</v>
      </c>
      <c r="FF11" s="298"/>
      <c r="FG11" s="318" t="s">
        <v>272</v>
      </c>
      <c r="FH11" s="319"/>
      <c r="FI11" s="483" t="s">
        <v>273</v>
      </c>
      <c r="FJ11" s="484"/>
      <c r="FK11" s="304">
        <v>5998.65</v>
      </c>
      <c r="FL11" s="322" t="s">
        <v>104</v>
      </c>
      <c r="FM11" s="298"/>
      <c r="FN11" s="302" t="s">
        <v>272</v>
      </c>
      <c r="FO11" s="303"/>
      <c r="FP11" s="481" t="s">
        <v>273</v>
      </c>
      <c r="FQ11" s="482"/>
      <c r="FR11" s="304">
        <v>4331.38</v>
      </c>
      <c r="FS11" s="321" t="s">
        <v>104</v>
      </c>
      <c r="FT11" s="342"/>
      <c r="FU11" s="302" t="s">
        <v>272</v>
      </c>
      <c r="FV11" s="303"/>
      <c r="FW11" s="504" t="s">
        <v>273</v>
      </c>
      <c r="FX11" s="504"/>
      <c r="FY11" s="304">
        <v>8999.4</v>
      </c>
      <c r="FZ11" s="321" t="s">
        <v>104</v>
      </c>
      <c r="GA11" s="298"/>
      <c r="GB11" s="302" t="s">
        <v>272</v>
      </c>
      <c r="GC11" s="303"/>
      <c r="GD11" s="481" t="s">
        <v>273</v>
      </c>
      <c r="GE11" s="482"/>
      <c r="GF11" s="304">
        <v>5934.6</v>
      </c>
      <c r="GG11" s="321" t="s">
        <v>104</v>
      </c>
    </row>
    <row r="12" spans="2:189" ht="15.75" thickBot="1">
      <c r="B12" s="318" t="s">
        <v>275</v>
      </c>
      <c r="C12" s="319"/>
      <c r="D12" s="483" t="s">
        <v>276</v>
      </c>
      <c r="E12" s="484"/>
      <c r="F12" s="311">
        <v>6445.1</v>
      </c>
      <c r="G12" s="322" t="s">
        <v>104</v>
      </c>
      <c r="I12" s="8"/>
      <c r="J12" s="8"/>
      <c r="K12" s="474"/>
      <c r="L12" s="474"/>
      <c r="M12" s="305"/>
      <c r="N12" s="342"/>
      <c r="O12" s="298"/>
      <c r="P12" s="318" t="s">
        <v>275</v>
      </c>
      <c r="Q12" s="319"/>
      <c r="R12" s="483" t="s">
        <v>276</v>
      </c>
      <c r="S12" s="484"/>
      <c r="T12" s="311">
        <v>5752.07</v>
      </c>
      <c r="U12" s="322" t="s">
        <v>104</v>
      </c>
      <c r="V12" s="298"/>
      <c r="W12" s="485" t="s">
        <v>373</v>
      </c>
      <c r="X12" s="486"/>
      <c r="Y12" s="486"/>
      <c r="Z12" s="487"/>
      <c r="AA12" s="323">
        <f>SUM(AA7:AA11)/1000</f>
        <v>35.18339</v>
      </c>
      <c r="AB12" s="324" t="s">
        <v>3</v>
      </c>
      <c r="AC12" s="298"/>
      <c r="AD12" s="485" t="s">
        <v>373</v>
      </c>
      <c r="AE12" s="486"/>
      <c r="AF12" s="486"/>
      <c r="AG12" s="487"/>
      <c r="AH12" s="323">
        <f>SUM(AH7:AH11)/1000</f>
        <v>30.69419</v>
      </c>
      <c r="AI12" s="324" t="s">
        <v>3</v>
      </c>
      <c r="AJ12" s="298"/>
      <c r="AK12" s="8"/>
      <c r="AL12" s="8"/>
      <c r="AM12" s="474"/>
      <c r="AN12" s="474"/>
      <c r="AO12" s="305"/>
      <c r="AP12" s="342"/>
      <c r="AQ12" s="298"/>
      <c r="AR12" s="485" t="s">
        <v>373</v>
      </c>
      <c r="AS12" s="486"/>
      <c r="AT12" s="486"/>
      <c r="AU12" s="487"/>
      <c r="AV12" s="323">
        <f>SUM(AV7:AV11)/1000</f>
        <v>31.914490000000004</v>
      </c>
      <c r="AW12" s="324" t="s">
        <v>3</v>
      </c>
      <c r="AX12" s="298"/>
      <c r="AY12" s="318" t="s">
        <v>275</v>
      </c>
      <c r="AZ12" s="319"/>
      <c r="BA12" s="483" t="s">
        <v>276</v>
      </c>
      <c r="BB12" s="484"/>
      <c r="BC12" s="311">
        <v>5950.28</v>
      </c>
      <c r="BD12" s="322" t="s">
        <v>104</v>
      </c>
      <c r="BE12" s="298"/>
      <c r="BF12" s="302" t="s">
        <v>275</v>
      </c>
      <c r="BG12" s="303"/>
      <c r="BH12" s="504" t="s">
        <v>276</v>
      </c>
      <c r="BI12" s="504"/>
      <c r="BJ12" s="304">
        <v>5305.44</v>
      </c>
      <c r="BK12" s="321" t="s">
        <v>104</v>
      </c>
      <c r="BM12" s="318" t="s">
        <v>275</v>
      </c>
      <c r="BN12" s="319"/>
      <c r="BO12" s="483" t="s">
        <v>276</v>
      </c>
      <c r="BP12" s="484"/>
      <c r="BQ12" s="311">
        <v>5484.43</v>
      </c>
      <c r="BR12" s="322" t="s">
        <v>104</v>
      </c>
      <c r="BT12" s="302" t="s">
        <v>275</v>
      </c>
      <c r="BU12" s="303"/>
      <c r="BV12" s="481" t="s">
        <v>273</v>
      </c>
      <c r="BW12" s="482"/>
      <c r="BX12" s="304">
        <v>9824.71</v>
      </c>
      <c r="BY12" s="321" t="s">
        <v>104</v>
      </c>
      <c r="BZ12" s="298"/>
      <c r="CA12" s="485" t="s">
        <v>373</v>
      </c>
      <c r="CB12" s="486"/>
      <c r="CC12" s="486"/>
      <c r="CD12" s="487"/>
      <c r="CE12" s="323">
        <f>SUM(CE7:CE11)/1000</f>
        <v>30.882830000000002</v>
      </c>
      <c r="CF12" s="324" t="s">
        <v>3</v>
      </c>
      <c r="CG12" s="298"/>
      <c r="CH12" s="302" t="s">
        <v>275</v>
      </c>
      <c r="CI12" s="303"/>
      <c r="CJ12" s="481" t="s">
        <v>276</v>
      </c>
      <c r="CK12" s="482"/>
      <c r="CL12" s="304">
        <v>4519.17</v>
      </c>
      <c r="CM12" s="321" t="s">
        <v>104</v>
      </c>
      <c r="CN12" s="298"/>
      <c r="CO12" s="302" t="s">
        <v>275</v>
      </c>
      <c r="CP12" s="303"/>
      <c r="CQ12" s="481" t="s">
        <v>276</v>
      </c>
      <c r="CR12" s="482"/>
      <c r="CS12" s="304">
        <v>6898.6</v>
      </c>
      <c r="CT12" s="321" t="s">
        <v>104</v>
      </c>
      <c r="CU12" s="298"/>
      <c r="CV12" s="318" t="s">
        <v>275</v>
      </c>
      <c r="CW12" s="319"/>
      <c r="CX12" s="502" t="s">
        <v>276</v>
      </c>
      <c r="CY12" s="503"/>
      <c r="CZ12" s="311">
        <v>9250.13</v>
      </c>
      <c r="DA12" s="322" t="s">
        <v>104</v>
      </c>
      <c r="DB12" s="298"/>
      <c r="DC12" s="318" t="s">
        <v>275</v>
      </c>
      <c r="DD12" s="319"/>
      <c r="DE12" s="483" t="s">
        <v>276</v>
      </c>
      <c r="DF12" s="484"/>
      <c r="DG12" s="311">
        <v>7598.74</v>
      </c>
      <c r="DH12" s="322" t="s">
        <v>104</v>
      </c>
      <c r="DI12" s="298"/>
      <c r="DJ12" s="318" t="s">
        <v>275</v>
      </c>
      <c r="DK12" s="319"/>
      <c r="DL12" s="483" t="s">
        <v>276</v>
      </c>
      <c r="DM12" s="484"/>
      <c r="DN12" s="311">
        <v>8227.09</v>
      </c>
      <c r="DO12" s="322" t="s">
        <v>104</v>
      </c>
      <c r="DP12" s="298"/>
      <c r="DQ12" s="318" t="s">
        <v>275</v>
      </c>
      <c r="DR12" s="319"/>
      <c r="DS12" s="483" t="s">
        <v>276</v>
      </c>
      <c r="DT12" s="484"/>
      <c r="DU12" s="311">
        <v>7316.62</v>
      </c>
      <c r="DV12" s="322" t="s">
        <v>104</v>
      </c>
      <c r="DX12" s="302" t="s">
        <v>275</v>
      </c>
      <c r="DY12" s="303"/>
      <c r="DZ12" s="504" t="s">
        <v>276</v>
      </c>
      <c r="EA12" s="504"/>
      <c r="EB12" s="304">
        <v>5305.44</v>
      </c>
      <c r="EC12" s="321" t="s">
        <v>104</v>
      </c>
      <c r="EE12" s="330" t="s">
        <v>275</v>
      </c>
      <c r="EF12" s="331"/>
      <c r="EG12" s="512" t="s">
        <v>276</v>
      </c>
      <c r="EH12" s="512"/>
      <c r="EI12" s="304">
        <v>4736.11</v>
      </c>
      <c r="EJ12" s="332" t="s">
        <v>104</v>
      </c>
      <c r="EK12" s="298"/>
      <c r="EL12" s="485" t="s">
        <v>373</v>
      </c>
      <c r="EM12" s="486"/>
      <c r="EN12" s="486"/>
      <c r="EO12" s="487"/>
      <c r="EP12" s="323">
        <f>SUM(EP7:EP11)/1000</f>
        <v>21.941059999999997</v>
      </c>
      <c r="EQ12" s="324" t="s">
        <v>3</v>
      </c>
      <c r="ER12" s="298"/>
      <c r="ES12" s="302" t="s">
        <v>275</v>
      </c>
      <c r="ET12" s="303"/>
      <c r="EU12" s="481" t="s">
        <v>276</v>
      </c>
      <c r="EV12" s="482"/>
      <c r="EW12" s="304">
        <v>5592.37</v>
      </c>
      <c r="EX12" s="321" t="s">
        <v>104</v>
      </c>
      <c r="EY12" s="298"/>
      <c r="EZ12" s="302" t="s">
        <v>275</v>
      </c>
      <c r="FA12" s="303"/>
      <c r="FB12" s="481" t="s">
        <v>276</v>
      </c>
      <c r="FC12" s="482"/>
      <c r="FD12" s="311">
        <v>5066.22</v>
      </c>
      <c r="FE12" s="321" t="s">
        <v>104</v>
      </c>
      <c r="FF12" s="298"/>
      <c r="FG12" s="318" t="s">
        <v>275</v>
      </c>
      <c r="FH12" s="319"/>
      <c r="FI12" s="483" t="s">
        <v>276</v>
      </c>
      <c r="FJ12" s="484"/>
      <c r="FK12" s="304">
        <v>7552.45</v>
      </c>
      <c r="FL12" s="322" t="s">
        <v>104</v>
      </c>
      <c r="FM12" s="298"/>
      <c r="FN12" s="318" t="s">
        <v>275</v>
      </c>
      <c r="FO12" s="319"/>
      <c r="FP12" s="483" t="s">
        <v>276</v>
      </c>
      <c r="FQ12" s="484"/>
      <c r="FR12" s="311">
        <v>4810.19</v>
      </c>
      <c r="FS12" s="322" t="s">
        <v>104</v>
      </c>
      <c r="FT12" s="342"/>
      <c r="FU12" s="302" t="s">
        <v>275</v>
      </c>
      <c r="FV12" s="303"/>
      <c r="FW12" s="504" t="s">
        <v>276</v>
      </c>
      <c r="FX12" s="504"/>
      <c r="FY12" s="304">
        <v>6489.28</v>
      </c>
      <c r="FZ12" s="321" t="s">
        <v>104</v>
      </c>
      <c r="GA12" s="298"/>
      <c r="GB12" s="318" t="s">
        <v>275</v>
      </c>
      <c r="GC12" s="319"/>
      <c r="GD12" s="483" t="s">
        <v>276</v>
      </c>
      <c r="GE12" s="484"/>
      <c r="GF12" s="311">
        <v>6445.1</v>
      </c>
      <c r="GG12" s="322" t="s">
        <v>104</v>
      </c>
    </row>
    <row r="13" spans="2:189" ht="15.75" thickBot="1">
      <c r="B13" s="485" t="s">
        <v>373</v>
      </c>
      <c r="C13" s="486"/>
      <c r="D13" s="486"/>
      <c r="E13" s="487"/>
      <c r="F13" s="323">
        <f>SUM(F7:F12)/1000</f>
        <v>38.848949999999995</v>
      </c>
      <c r="G13" s="324" t="s">
        <v>3</v>
      </c>
      <c r="I13" s="8"/>
      <c r="J13" s="8"/>
      <c r="K13" s="474"/>
      <c r="L13" s="474"/>
      <c r="M13" s="343"/>
      <c r="N13" s="342"/>
      <c r="O13" s="298"/>
      <c r="P13" s="485" t="s">
        <v>373</v>
      </c>
      <c r="Q13" s="486"/>
      <c r="R13" s="486"/>
      <c r="S13" s="487"/>
      <c r="T13" s="323">
        <f>SUM(T7:T12)/1000</f>
        <v>39.782059999999994</v>
      </c>
      <c r="U13" s="324" t="s">
        <v>3</v>
      </c>
      <c r="V13" s="298"/>
      <c r="W13" s="298"/>
      <c r="X13" s="298"/>
      <c r="Y13" s="298"/>
      <c r="Z13" s="298"/>
      <c r="AA13" s="298"/>
      <c r="AB13" s="298"/>
      <c r="AC13" s="298"/>
      <c r="AJ13" s="298"/>
      <c r="AK13" s="8"/>
      <c r="AL13" s="8"/>
      <c r="AM13" s="474"/>
      <c r="AN13" s="474"/>
      <c r="AO13" s="343"/>
      <c r="AP13" s="342"/>
      <c r="AQ13" s="298"/>
      <c r="AX13" s="298"/>
      <c r="AY13" s="485" t="s">
        <v>373</v>
      </c>
      <c r="AZ13" s="486"/>
      <c r="BA13" s="486"/>
      <c r="BB13" s="487"/>
      <c r="BC13" s="323">
        <f>SUM(BC7:BC12)/1000</f>
        <v>36.04086</v>
      </c>
      <c r="BD13" s="324" t="s">
        <v>3</v>
      </c>
      <c r="BE13" s="298"/>
      <c r="BF13" s="302" t="s">
        <v>278</v>
      </c>
      <c r="BG13" s="303"/>
      <c r="BH13" s="504" t="s">
        <v>279</v>
      </c>
      <c r="BI13" s="504"/>
      <c r="BJ13" s="327">
        <v>6414.97</v>
      </c>
      <c r="BK13" s="321" t="s">
        <v>104</v>
      </c>
      <c r="BM13" s="485" t="s">
        <v>373</v>
      </c>
      <c r="BN13" s="486"/>
      <c r="BO13" s="486"/>
      <c r="BP13" s="487"/>
      <c r="BQ13" s="323">
        <f>SUM(BQ7:BQ12)/1000</f>
        <v>26.285340000000005</v>
      </c>
      <c r="BR13" s="324" t="s">
        <v>3</v>
      </c>
      <c r="BT13" s="318" t="s">
        <v>278</v>
      </c>
      <c r="BU13" s="319"/>
      <c r="BV13" s="483" t="s">
        <v>276</v>
      </c>
      <c r="BW13" s="484"/>
      <c r="BX13" s="311">
        <v>3730.34</v>
      </c>
      <c r="BY13" s="322" t="s">
        <v>104</v>
      </c>
      <c r="BZ13" s="347"/>
      <c r="CG13" s="298"/>
      <c r="CH13" s="318" t="s">
        <v>278</v>
      </c>
      <c r="CI13" s="319"/>
      <c r="CJ13" s="483" t="s">
        <v>279</v>
      </c>
      <c r="CK13" s="484"/>
      <c r="CL13" s="373">
        <v>7442.58</v>
      </c>
      <c r="CM13" s="322" t="s">
        <v>104</v>
      </c>
      <c r="CN13" s="298"/>
      <c r="CO13" s="302" t="s">
        <v>278</v>
      </c>
      <c r="CP13" s="303"/>
      <c r="CQ13" s="481" t="s">
        <v>279</v>
      </c>
      <c r="CR13" s="482"/>
      <c r="CS13" s="327">
        <v>7847.68</v>
      </c>
      <c r="CT13" s="321" t="s">
        <v>104</v>
      </c>
      <c r="CU13" s="298"/>
      <c r="CV13" s="485" t="s">
        <v>373</v>
      </c>
      <c r="CW13" s="486"/>
      <c r="CX13" s="486"/>
      <c r="CY13" s="487"/>
      <c r="CZ13" s="323">
        <f>SUM(CZ7:CZ12)/1000</f>
        <v>54.54583</v>
      </c>
      <c r="DA13" s="324" t="s">
        <v>3</v>
      </c>
      <c r="DB13" s="298"/>
      <c r="DC13" s="485" t="s">
        <v>373</v>
      </c>
      <c r="DD13" s="486"/>
      <c r="DE13" s="486"/>
      <c r="DF13" s="487"/>
      <c r="DG13" s="323">
        <f>SUM(DG7:DG12)/1000</f>
        <v>45.18301</v>
      </c>
      <c r="DH13" s="324" t="s">
        <v>3</v>
      </c>
      <c r="DI13" s="298"/>
      <c r="DJ13" s="485" t="s">
        <v>373</v>
      </c>
      <c r="DK13" s="486"/>
      <c r="DL13" s="486"/>
      <c r="DM13" s="487"/>
      <c r="DN13" s="323">
        <f>SUM(DN7:DN12)/1000</f>
        <v>44.28836</v>
      </c>
      <c r="DO13" s="324" t="s">
        <v>3</v>
      </c>
      <c r="DP13" s="298"/>
      <c r="DQ13" s="485" t="s">
        <v>373</v>
      </c>
      <c r="DR13" s="486"/>
      <c r="DS13" s="486"/>
      <c r="DT13" s="487"/>
      <c r="DU13" s="323">
        <f>SUM(DU7:DU12)/1000</f>
        <v>39.458780000000004</v>
      </c>
      <c r="DV13" s="324" t="s">
        <v>3</v>
      </c>
      <c r="DX13" s="302" t="s">
        <v>278</v>
      </c>
      <c r="DY13" s="303"/>
      <c r="DZ13" s="504" t="s">
        <v>279</v>
      </c>
      <c r="EA13" s="504"/>
      <c r="EB13" s="327">
        <v>6414.97</v>
      </c>
      <c r="EC13" s="321" t="s">
        <v>104</v>
      </c>
      <c r="EE13" s="485" t="s">
        <v>373</v>
      </c>
      <c r="EF13" s="486"/>
      <c r="EG13" s="486"/>
      <c r="EH13" s="487"/>
      <c r="EI13" s="323">
        <f>SUM(EI7:EI12)/1000</f>
        <v>25.293029999999998</v>
      </c>
      <c r="EJ13" s="324" t="s">
        <v>3</v>
      </c>
      <c r="EK13" s="298"/>
      <c r="EL13" s="298"/>
      <c r="EM13" s="298"/>
      <c r="EN13" s="298"/>
      <c r="EO13" s="298"/>
      <c r="EP13" s="298"/>
      <c r="EQ13" s="298"/>
      <c r="ER13" s="298"/>
      <c r="ES13" s="485" t="s">
        <v>373</v>
      </c>
      <c r="ET13" s="486"/>
      <c r="EU13" s="486"/>
      <c r="EV13" s="487"/>
      <c r="EW13" s="323">
        <f>SUM(EW7:EW12)/1000</f>
        <v>32.89824</v>
      </c>
      <c r="EX13" s="324" t="s">
        <v>3</v>
      </c>
      <c r="EY13" s="298"/>
      <c r="EZ13" s="302" t="s">
        <v>278</v>
      </c>
      <c r="FA13" s="303"/>
      <c r="FB13" s="481" t="s">
        <v>279</v>
      </c>
      <c r="FC13" s="482"/>
      <c r="FD13" s="311">
        <v>13547.26</v>
      </c>
      <c r="FE13" s="321" t="s">
        <v>104</v>
      </c>
      <c r="FF13" s="298"/>
      <c r="FG13" s="485" t="s">
        <v>373</v>
      </c>
      <c r="FH13" s="486"/>
      <c r="FI13" s="486"/>
      <c r="FJ13" s="487"/>
      <c r="FK13" s="323">
        <f>SUM(FK7:FK12)/1000</f>
        <v>43.20063</v>
      </c>
      <c r="FL13" s="324" t="s">
        <v>3</v>
      </c>
      <c r="FM13" s="298"/>
      <c r="FN13" s="485" t="s">
        <v>373</v>
      </c>
      <c r="FO13" s="486"/>
      <c r="FP13" s="486"/>
      <c r="FQ13" s="487"/>
      <c r="FR13" s="323">
        <f>SUM(FR7:FR12)/1000</f>
        <v>42.77301</v>
      </c>
      <c r="FS13" s="324" t="s">
        <v>3</v>
      </c>
      <c r="FT13" s="342"/>
      <c r="FU13" s="302" t="s">
        <v>278</v>
      </c>
      <c r="FV13" s="303"/>
      <c r="FW13" s="504" t="s">
        <v>279</v>
      </c>
      <c r="FX13" s="504"/>
      <c r="FY13" s="327">
        <v>3400.53</v>
      </c>
      <c r="FZ13" s="321" t="s">
        <v>104</v>
      </c>
      <c r="GA13" s="298"/>
      <c r="GB13" s="485" t="s">
        <v>373</v>
      </c>
      <c r="GC13" s="486"/>
      <c r="GD13" s="486"/>
      <c r="GE13" s="487"/>
      <c r="GF13" s="323">
        <f>SUM(GF7:GF12)/1000</f>
        <v>38.848949999999995</v>
      </c>
      <c r="GG13" s="324" t="s">
        <v>3</v>
      </c>
    </row>
    <row r="14" spans="2:189" ht="15.75" thickBot="1">
      <c r="B14" s="344"/>
      <c r="C14" s="8"/>
      <c r="D14" s="474"/>
      <c r="E14" s="474"/>
      <c r="F14" s="305"/>
      <c r="G14" s="342"/>
      <c r="I14" s="298"/>
      <c r="J14" s="298"/>
      <c r="K14" s="298"/>
      <c r="L14" s="298"/>
      <c r="M14" s="298"/>
      <c r="N14" s="298"/>
      <c r="O14" s="298"/>
      <c r="P14" s="314"/>
      <c r="Q14" s="314"/>
      <c r="R14" s="314"/>
      <c r="S14" s="314"/>
      <c r="T14" s="320"/>
      <c r="U14" s="315"/>
      <c r="V14" s="298"/>
      <c r="W14" s="344"/>
      <c r="X14" s="8"/>
      <c r="Y14" s="474"/>
      <c r="Z14" s="474"/>
      <c r="AA14" s="305"/>
      <c r="AB14" s="342"/>
      <c r="AC14" s="298"/>
      <c r="AD14" s="344"/>
      <c r="AE14" s="8"/>
      <c r="AF14" s="474"/>
      <c r="AG14" s="474"/>
      <c r="AH14" s="305"/>
      <c r="AI14" s="342"/>
      <c r="AJ14" s="298"/>
      <c r="AK14" s="298"/>
      <c r="AL14" s="298"/>
      <c r="AM14" s="298"/>
      <c r="AN14" s="298"/>
      <c r="AO14" s="298"/>
      <c r="AP14" s="298"/>
      <c r="AQ14" s="298"/>
      <c r="AR14" s="344"/>
      <c r="AS14" s="8"/>
      <c r="AT14" s="474"/>
      <c r="AU14" s="474"/>
      <c r="AV14" s="305"/>
      <c r="AW14" s="342"/>
      <c r="AX14" s="298"/>
      <c r="AY14" s="363"/>
      <c r="AZ14" s="363"/>
      <c r="BA14" s="363"/>
      <c r="BB14" s="363"/>
      <c r="BC14" s="320"/>
      <c r="BD14" s="372"/>
      <c r="BE14" s="298"/>
      <c r="BF14" s="302" t="s">
        <v>294</v>
      </c>
      <c r="BG14" s="303" t="s">
        <v>444</v>
      </c>
      <c r="BH14" s="504" t="s">
        <v>295</v>
      </c>
      <c r="BI14" s="504"/>
      <c r="BJ14" s="327">
        <v>3000</v>
      </c>
      <c r="BK14" s="321" t="s">
        <v>104</v>
      </c>
      <c r="BM14" s="363"/>
      <c r="BN14" s="363"/>
      <c r="BO14" s="363"/>
      <c r="BP14" s="363"/>
      <c r="BQ14" s="320"/>
      <c r="BR14" s="372"/>
      <c r="BT14" s="485" t="s">
        <v>373</v>
      </c>
      <c r="BU14" s="486"/>
      <c r="BV14" s="486"/>
      <c r="BW14" s="487"/>
      <c r="BX14" s="323">
        <f>SUM(BX7:BX13)/1000</f>
        <v>31.02581</v>
      </c>
      <c r="BY14" s="324" t="s">
        <v>3</v>
      </c>
      <c r="BZ14" s="298"/>
      <c r="CA14" s="363"/>
      <c r="CB14" s="363"/>
      <c r="CC14" s="363"/>
      <c r="CD14" s="363"/>
      <c r="CE14" s="320"/>
      <c r="CF14" s="372"/>
      <c r="CG14" s="298"/>
      <c r="CH14" s="485" t="s">
        <v>373</v>
      </c>
      <c r="CI14" s="486"/>
      <c r="CJ14" s="486"/>
      <c r="CK14" s="487"/>
      <c r="CL14" s="323">
        <f>SUM(CL7:CL13)/1000</f>
        <v>33.55566</v>
      </c>
      <c r="CM14" s="324" t="s">
        <v>3</v>
      </c>
      <c r="CN14" s="298"/>
      <c r="CO14" s="348" t="s">
        <v>294</v>
      </c>
      <c r="CP14" s="349"/>
      <c r="CQ14" s="507" t="s">
        <v>295</v>
      </c>
      <c r="CR14" s="508"/>
      <c r="CS14" s="350">
        <v>6192.22</v>
      </c>
      <c r="CT14" s="351" t="s">
        <v>104</v>
      </c>
      <c r="CU14" s="298"/>
      <c r="CV14" s="387"/>
      <c r="CW14" s="387"/>
      <c r="CX14" s="387"/>
      <c r="CY14" s="387"/>
      <c r="CZ14" s="387"/>
      <c r="DA14" s="387"/>
      <c r="DB14" s="298"/>
      <c r="DC14" s="363"/>
      <c r="DD14" s="363"/>
      <c r="DE14" s="363"/>
      <c r="DF14" s="363"/>
      <c r="DG14" s="320"/>
      <c r="DH14" s="372"/>
      <c r="DI14" s="298"/>
      <c r="DJ14" s="314"/>
      <c r="DK14" s="314"/>
      <c r="DL14" s="314"/>
      <c r="DM14" s="314"/>
      <c r="DN14" s="320"/>
      <c r="DO14" s="315"/>
      <c r="DP14" s="298"/>
      <c r="DQ14" s="314"/>
      <c r="DR14" s="314"/>
      <c r="DS14" s="314"/>
      <c r="DT14" s="314"/>
      <c r="DU14" s="320"/>
      <c r="DV14" s="315"/>
      <c r="DX14" s="302" t="s">
        <v>294</v>
      </c>
      <c r="DY14" s="303" t="s">
        <v>444</v>
      </c>
      <c r="DZ14" s="504" t="s">
        <v>295</v>
      </c>
      <c r="EA14" s="504"/>
      <c r="EB14" s="327">
        <v>3000</v>
      </c>
      <c r="EC14" s="321" t="s">
        <v>104</v>
      </c>
      <c r="EE14" s="314"/>
      <c r="EF14" s="314"/>
      <c r="EG14" s="314"/>
      <c r="EH14" s="314"/>
      <c r="EI14" s="320"/>
      <c r="EJ14" s="356"/>
      <c r="EK14" s="298"/>
      <c r="EL14" s="314"/>
      <c r="EM14" s="314"/>
      <c r="EN14" s="314"/>
      <c r="EO14" s="314"/>
      <c r="EP14" s="320"/>
      <c r="EQ14" s="315"/>
      <c r="ER14" s="298"/>
      <c r="ES14" s="298"/>
      <c r="ET14" s="298"/>
      <c r="EU14" s="298"/>
      <c r="EV14" s="298"/>
      <c r="EW14" s="298"/>
      <c r="EX14" s="298"/>
      <c r="EY14" s="298"/>
      <c r="EZ14" s="485" t="s">
        <v>373</v>
      </c>
      <c r="FA14" s="486"/>
      <c r="FB14" s="486"/>
      <c r="FC14" s="487"/>
      <c r="FD14" s="323">
        <f>SUM(FD7:FD13)/1000</f>
        <v>52.620110000000004</v>
      </c>
      <c r="FE14" s="324" t="s">
        <v>3</v>
      </c>
      <c r="FF14" s="298"/>
      <c r="FG14" s="314"/>
      <c r="FH14" s="314"/>
      <c r="FI14" s="314" t="s">
        <v>28</v>
      </c>
      <c r="FJ14" s="314"/>
      <c r="FK14" s="320"/>
      <c r="FL14" s="356"/>
      <c r="FM14" s="298"/>
      <c r="FN14" s="298"/>
      <c r="FO14" s="298"/>
      <c r="FP14" s="298"/>
      <c r="FQ14" s="298"/>
      <c r="FR14" s="298"/>
      <c r="FS14" s="298"/>
      <c r="FT14" s="342"/>
      <c r="FU14" s="330" t="s">
        <v>294</v>
      </c>
      <c r="FV14" s="331"/>
      <c r="FW14" s="512" t="s">
        <v>295</v>
      </c>
      <c r="FX14" s="512"/>
      <c r="FY14" s="355">
        <v>6354.6</v>
      </c>
      <c r="FZ14" s="332" t="s">
        <v>104</v>
      </c>
      <c r="GA14" s="298"/>
      <c r="GB14" s="344"/>
      <c r="GC14" s="8"/>
      <c r="GD14" s="474"/>
      <c r="GE14" s="474"/>
      <c r="GF14" s="305"/>
      <c r="GG14" s="342"/>
    </row>
    <row r="15" spans="2:189" ht="15.75" thickBot="1">
      <c r="B15" s="344"/>
      <c r="C15" s="8"/>
      <c r="D15" s="474"/>
      <c r="E15" s="474"/>
      <c r="F15" s="343"/>
      <c r="G15" s="385"/>
      <c r="I15" s="314"/>
      <c r="J15" s="314"/>
      <c r="K15" s="314"/>
      <c r="L15" s="314"/>
      <c r="M15" s="320"/>
      <c r="N15" s="315"/>
      <c r="O15" s="298"/>
      <c r="P15" s="314"/>
      <c r="Q15" s="314"/>
      <c r="R15" s="314"/>
      <c r="S15" s="314"/>
      <c r="T15" s="320"/>
      <c r="U15" s="315"/>
      <c r="V15" s="298"/>
      <c r="W15" s="344"/>
      <c r="X15" s="8"/>
      <c r="Y15" s="474"/>
      <c r="Z15" s="474"/>
      <c r="AA15" s="343"/>
      <c r="AB15" s="342"/>
      <c r="AC15" s="298"/>
      <c r="AD15" s="344"/>
      <c r="AE15" s="8"/>
      <c r="AF15" s="474"/>
      <c r="AG15" s="474"/>
      <c r="AH15" s="343"/>
      <c r="AI15" s="342"/>
      <c r="AJ15" s="298"/>
      <c r="AK15" s="314"/>
      <c r="AL15" s="314"/>
      <c r="AM15" s="314"/>
      <c r="AN15" s="314"/>
      <c r="AO15" s="320"/>
      <c r="AP15" s="315"/>
      <c r="AQ15" s="298"/>
      <c r="AR15" s="344"/>
      <c r="AS15" s="8"/>
      <c r="AT15" s="474"/>
      <c r="AU15" s="474"/>
      <c r="AV15" s="343"/>
      <c r="AW15" s="385"/>
      <c r="AX15" s="298"/>
      <c r="AY15" s="363"/>
      <c r="AZ15" s="363"/>
      <c r="BA15" s="363"/>
      <c r="BB15" s="363"/>
      <c r="BC15" s="320"/>
      <c r="BD15" s="372"/>
      <c r="BE15" s="298"/>
      <c r="BF15" s="318" t="s">
        <v>441</v>
      </c>
      <c r="BG15" s="319"/>
      <c r="BH15" s="506" t="s">
        <v>442</v>
      </c>
      <c r="BI15" s="506"/>
      <c r="BJ15" s="373">
        <v>15135.75</v>
      </c>
      <c r="BK15" s="322" t="s">
        <v>104</v>
      </c>
      <c r="BM15" s="363"/>
      <c r="BN15" s="363"/>
      <c r="BO15" s="363"/>
      <c r="BP15" s="363"/>
      <c r="BQ15" s="320"/>
      <c r="BR15" s="372"/>
      <c r="BT15" s="363"/>
      <c r="BU15" s="363"/>
      <c r="BV15" s="363"/>
      <c r="BW15" s="363"/>
      <c r="BX15" s="320"/>
      <c r="BY15" s="372"/>
      <c r="BZ15" s="298"/>
      <c r="CA15" s="363"/>
      <c r="CB15" s="363"/>
      <c r="CC15" s="363"/>
      <c r="CD15" s="363"/>
      <c r="CE15" s="320"/>
      <c r="CF15" s="372"/>
      <c r="CG15" s="298"/>
      <c r="CH15" s="363"/>
      <c r="CI15" s="363"/>
      <c r="CJ15" s="363"/>
      <c r="CK15" s="363"/>
      <c r="CL15" s="320"/>
      <c r="CM15" s="372"/>
      <c r="CN15" s="298"/>
      <c r="CO15" s="485" t="s">
        <v>373</v>
      </c>
      <c r="CP15" s="486"/>
      <c r="CQ15" s="486"/>
      <c r="CR15" s="487"/>
      <c r="CS15" s="328">
        <f>SUM(CS7:CS14)/1000</f>
        <v>48.056850000000004</v>
      </c>
      <c r="CT15" s="329" t="s">
        <v>3</v>
      </c>
      <c r="CU15" s="298"/>
      <c r="CV15" s="387"/>
      <c r="CW15" s="387"/>
      <c r="CX15" s="387"/>
      <c r="CY15" s="387"/>
      <c r="CZ15" s="387"/>
      <c r="DA15" s="387"/>
      <c r="DB15" s="298"/>
      <c r="DC15" s="363"/>
      <c r="DD15" s="363"/>
      <c r="DE15" s="363"/>
      <c r="DF15" s="363"/>
      <c r="DG15" s="320"/>
      <c r="DH15" s="372"/>
      <c r="DI15" s="298"/>
      <c r="DJ15" s="314"/>
      <c r="DK15" s="314"/>
      <c r="DL15" s="314"/>
      <c r="DM15" s="314"/>
      <c r="DN15" s="320"/>
      <c r="DO15" s="315"/>
      <c r="DP15" s="298"/>
      <c r="DQ15" s="314"/>
      <c r="DR15" s="314"/>
      <c r="DS15" s="314"/>
      <c r="DT15" s="314"/>
      <c r="DU15" s="320"/>
      <c r="DV15" s="315"/>
      <c r="DX15" s="318" t="s">
        <v>441</v>
      </c>
      <c r="DY15" s="319"/>
      <c r="DZ15" s="506" t="s">
        <v>442</v>
      </c>
      <c r="EA15" s="506"/>
      <c r="EB15" s="373">
        <v>15135.75</v>
      </c>
      <c r="EC15" s="322" t="s">
        <v>104</v>
      </c>
      <c r="EE15" s="8"/>
      <c r="EF15" s="8"/>
      <c r="EG15" s="474"/>
      <c r="EH15" s="474"/>
      <c r="EI15" s="305"/>
      <c r="EJ15" s="342"/>
      <c r="EK15" s="298"/>
      <c r="EL15" s="314"/>
      <c r="EM15" s="314"/>
      <c r="EN15" s="314"/>
      <c r="EO15" s="314"/>
      <c r="EP15" s="320"/>
      <c r="EQ15" s="315"/>
      <c r="ER15" s="298"/>
      <c r="ES15" s="344"/>
      <c r="ET15" s="8"/>
      <c r="EU15" s="474"/>
      <c r="EV15" s="474"/>
      <c r="EW15" s="305"/>
      <c r="EX15" s="342"/>
      <c r="EY15" s="298"/>
      <c r="EZ15" s="344"/>
      <c r="FA15" s="8"/>
      <c r="FB15" s="474"/>
      <c r="FC15" s="474"/>
      <c r="FD15" s="305"/>
      <c r="FE15" s="342"/>
      <c r="FF15" s="298"/>
      <c r="FG15" s="8"/>
      <c r="FH15" s="8"/>
      <c r="FI15" s="474"/>
      <c r="FJ15" s="474"/>
      <c r="FK15" s="305"/>
      <c r="FL15" s="342"/>
      <c r="FM15" s="298"/>
      <c r="FN15" s="344"/>
      <c r="FO15" s="8"/>
      <c r="FP15" s="474"/>
      <c r="FQ15" s="474"/>
      <c r="FR15" s="305"/>
      <c r="FS15" s="342"/>
      <c r="FT15" s="356"/>
      <c r="FU15" s="485" t="s">
        <v>373</v>
      </c>
      <c r="FV15" s="486"/>
      <c r="FW15" s="486"/>
      <c r="FX15" s="487"/>
      <c r="FY15" s="328">
        <f>SUM(FY7:FY14)/1000</f>
        <v>51.70036999999999</v>
      </c>
      <c r="FZ15" s="329" t="s">
        <v>3</v>
      </c>
      <c r="GA15" s="298"/>
      <c r="GB15" s="344"/>
      <c r="GC15" s="8"/>
      <c r="GD15" s="474"/>
      <c r="GE15" s="474"/>
      <c r="GF15" s="343"/>
      <c r="GG15" s="385"/>
    </row>
    <row r="16" spans="2:189" ht="15.75" thickBot="1">
      <c r="B16" s="344"/>
      <c r="C16" s="8"/>
      <c r="D16" s="313"/>
      <c r="E16" s="313"/>
      <c r="F16" s="343"/>
      <c r="G16" s="385"/>
      <c r="I16" s="314"/>
      <c r="J16" s="314"/>
      <c r="K16" s="314"/>
      <c r="L16" s="314"/>
      <c r="M16" s="320"/>
      <c r="N16" s="315"/>
      <c r="O16" s="298"/>
      <c r="P16" s="314"/>
      <c r="Q16" s="314"/>
      <c r="R16" s="314"/>
      <c r="S16" s="314"/>
      <c r="T16" s="320"/>
      <c r="U16" s="315"/>
      <c r="V16" s="298"/>
      <c r="W16" s="344"/>
      <c r="X16" s="8"/>
      <c r="Y16" s="313"/>
      <c r="Z16" s="313"/>
      <c r="AA16" s="343"/>
      <c r="AB16" s="342"/>
      <c r="AC16" s="298"/>
      <c r="AD16" s="344"/>
      <c r="AE16" s="8"/>
      <c r="AF16" s="313"/>
      <c r="AG16" s="313"/>
      <c r="AH16" s="343"/>
      <c r="AI16" s="342"/>
      <c r="AJ16" s="298"/>
      <c r="AK16" s="314"/>
      <c r="AL16" s="314"/>
      <c r="AM16" s="314"/>
      <c r="AN16" s="314"/>
      <c r="AO16" s="320"/>
      <c r="AP16" s="315"/>
      <c r="AQ16" s="298"/>
      <c r="AR16" s="344"/>
      <c r="AS16" s="8"/>
      <c r="AT16" s="313"/>
      <c r="AU16" s="313"/>
      <c r="AV16" s="343"/>
      <c r="AW16" s="385"/>
      <c r="AX16" s="298"/>
      <c r="AY16" s="344"/>
      <c r="AZ16" s="8"/>
      <c r="BA16" s="313"/>
      <c r="BB16" s="313"/>
      <c r="BC16" s="343"/>
      <c r="BD16" s="342"/>
      <c r="BE16" s="298"/>
      <c r="BF16" s="485" t="s">
        <v>373</v>
      </c>
      <c r="BG16" s="486"/>
      <c r="BH16" s="486"/>
      <c r="BI16" s="487"/>
      <c r="BJ16" s="323">
        <f>SUM(BJ7:BJ15)/1000</f>
        <v>61.936910000000005</v>
      </c>
      <c r="BK16" s="324" t="s">
        <v>3</v>
      </c>
      <c r="BM16" s="363"/>
      <c r="BN16" s="363"/>
      <c r="BO16" s="363"/>
      <c r="BP16" s="363"/>
      <c r="BQ16" s="320"/>
      <c r="BR16" s="372"/>
      <c r="BT16" s="363"/>
      <c r="BU16" s="363"/>
      <c r="BV16" s="363"/>
      <c r="BW16" s="363"/>
      <c r="BX16" s="320"/>
      <c r="BY16" s="372"/>
      <c r="BZ16" s="298"/>
      <c r="CA16" s="363"/>
      <c r="CB16" s="363"/>
      <c r="CC16" s="363"/>
      <c r="CD16" s="363"/>
      <c r="CE16" s="320"/>
      <c r="CF16" s="372"/>
      <c r="CG16" s="298"/>
      <c r="CH16" s="363"/>
      <c r="CI16" s="363"/>
      <c r="CJ16" s="363"/>
      <c r="CK16" s="363"/>
      <c r="CL16" s="320"/>
      <c r="CM16" s="372"/>
      <c r="CN16" s="298"/>
      <c r="CO16" s="363"/>
      <c r="CP16" s="363"/>
      <c r="CQ16" s="363"/>
      <c r="CR16" s="363"/>
      <c r="CS16" s="320"/>
      <c r="CT16" s="372"/>
      <c r="CU16" s="298"/>
      <c r="CV16" s="387"/>
      <c r="CW16" s="387"/>
      <c r="CX16" s="387"/>
      <c r="CY16" s="387"/>
      <c r="CZ16" s="387"/>
      <c r="DA16" s="387"/>
      <c r="DB16" s="298"/>
      <c r="DC16" s="363"/>
      <c r="DD16" s="363"/>
      <c r="DE16" s="363"/>
      <c r="DF16" s="363"/>
      <c r="DG16" s="320"/>
      <c r="DH16" s="372"/>
      <c r="DI16" s="298"/>
      <c r="DJ16" s="314"/>
      <c r="DK16" s="314"/>
      <c r="DL16" s="314"/>
      <c r="DM16" s="314"/>
      <c r="DN16" s="320"/>
      <c r="DO16" s="315"/>
      <c r="DP16" s="298"/>
      <c r="DQ16" s="314"/>
      <c r="DR16" s="314"/>
      <c r="DS16" s="314"/>
      <c r="DT16" s="314"/>
      <c r="DU16" s="320"/>
      <c r="DV16" s="315"/>
      <c r="DX16" s="485" t="s">
        <v>373</v>
      </c>
      <c r="DY16" s="486"/>
      <c r="DZ16" s="486"/>
      <c r="EA16" s="487"/>
      <c r="EB16" s="323">
        <f>SUM(EB7:EB15)/1000</f>
        <v>61.936910000000005</v>
      </c>
      <c r="EC16" s="324" t="s">
        <v>3</v>
      </c>
      <c r="EE16" s="8"/>
      <c r="EF16" s="8"/>
      <c r="EG16" s="313"/>
      <c r="EH16" s="313"/>
      <c r="EI16" s="305"/>
      <c r="EJ16" s="342"/>
      <c r="EK16" s="298"/>
      <c r="EL16" s="314"/>
      <c r="EM16" s="314"/>
      <c r="EN16" s="314"/>
      <c r="EO16" s="314"/>
      <c r="EP16" s="320"/>
      <c r="EQ16" s="315"/>
      <c r="ER16" s="298"/>
      <c r="ES16" s="344"/>
      <c r="ET16" s="8"/>
      <c r="EU16" s="313"/>
      <c r="EV16" s="313"/>
      <c r="EW16" s="305"/>
      <c r="EX16" s="342"/>
      <c r="EY16" s="298"/>
      <c r="EZ16" s="344"/>
      <c r="FA16" s="8"/>
      <c r="FB16" s="313"/>
      <c r="FC16" s="313"/>
      <c r="FD16" s="305"/>
      <c r="FE16" s="342"/>
      <c r="FF16" s="298"/>
      <c r="FG16" s="8"/>
      <c r="FH16" s="8"/>
      <c r="FI16" s="313"/>
      <c r="FJ16" s="313"/>
      <c r="FK16" s="305"/>
      <c r="FL16" s="342"/>
      <c r="FM16" s="298"/>
      <c r="FN16" s="344"/>
      <c r="FO16" s="8"/>
      <c r="FP16" s="313"/>
      <c r="FQ16" s="313"/>
      <c r="FR16" s="305"/>
      <c r="FS16" s="342"/>
      <c r="FT16" s="356"/>
      <c r="FU16" s="363"/>
      <c r="FV16" s="363"/>
      <c r="FW16" s="363"/>
      <c r="FX16" s="363"/>
      <c r="FY16" s="320"/>
      <c r="FZ16" s="372"/>
      <c r="GA16" s="298"/>
      <c r="GB16" s="344"/>
      <c r="GC16" s="8"/>
      <c r="GD16" s="313"/>
      <c r="GE16" s="313"/>
      <c r="GF16" s="343"/>
      <c r="GG16" s="385"/>
    </row>
    <row r="17" spans="2:189" ht="15.75" thickBot="1">
      <c r="B17" s="344"/>
      <c r="C17" s="8"/>
      <c r="D17" s="313"/>
      <c r="E17" s="313"/>
      <c r="F17" s="343"/>
      <c r="G17" s="385"/>
      <c r="I17" s="314"/>
      <c r="J17" s="314"/>
      <c r="K17" s="314"/>
      <c r="L17" s="314"/>
      <c r="M17" s="320"/>
      <c r="N17" s="315"/>
      <c r="O17" s="298"/>
      <c r="P17" s="314"/>
      <c r="Q17" s="314"/>
      <c r="R17" s="314"/>
      <c r="S17" s="314"/>
      <c r="T17" s="320"/>
      <c r="U17" s="315"/>
      <c r="V17" s="298"/>
      <c r="W17" s="344"/>
      <c r="X17" s="8"/>
      <c r="Y17" s="313"/>
      <c r="Z17" s="313"/>
      <c r="AA17" s="343"/>
      <c r="AB17" s="342"/>
      <c r="AC17" s="298"/>
      <c r="AD17" s="344"/>
      <c r="AE17" s="8"/>
      <c r="AF17" s="313"/>
      <c r="AG17" s="313"/>
      <c r="AH17" s="343"/>
      <c r="AI17" s="342"/>
      <c r="AJ17" s="298"/>
      <c r="AK17" s="314"/>
      <c r="AL17" s="314"/>
      <c r="AM17" s="314"/>
      <c r="AN17" s="314"/>
      <c r="AO17" s="320"/>
      <c r="AP17" s="315"/>
      <c r="AQ17" s="298"/>
      <c r="AR17" s="344"/>
      <c r="AS17" s="8"/>
      <c r="AT17" s="313"/>
      <c r="AU17" s="313"/>
      <c r="AV17" s="343"/>
      <c r="AW17" s="385"/>
      <c r="AX17" s="298"/>
      <c r="AY17" s="455" t="s">
        <v>296</v>
      </c>
      <c r="AZ17" s="456"/>
      <c r="BA17" s="456"/>
      <c r="BB17" s="456"/>
      <c r="BC17" s="456"/>
      <c r="BD17" s="457"/>
      <c r="BE17" s="298"/>
      <c r="BF17" s="314"/>
      <c r="BG17" s="314"/>
      <c r="BH17" s="314"/>
      <c r="BI17" s="314"/>
      <c r="BJ17" s="320"/>
      <c r="BK17" s="315"/>
      <c r="BL17" s="386"/>
      <c r="BM17" s="363"/>
      <c r="BN17" s="363"/>
      <c r="BO17" s="363"/>
      <c r="BP17" s="363"/>
      <c r="BQ17" s="320"/>
      <c r="BR17" s="372"/>
      <c r="BT17" s="363"/>
      <c r="BU17" s="363"/>
      <c r="BV17" s="363"/>
      <c r="BW17" s="363"/>
      <c r="BX17" s="320"/>
      <c r="BY17" s="372"/>
      <c r="BZ17" s="298"/>
      <c r="CA17" s="363"/>
      <c r="CB17" s="363"/>
      <c r="CC17" s="363"/>
      <c r="CD17" s="363"/>
      <c r="CE17" s="320"/>
      <c r="CF17" s="372"/>
      <c r="CG17" s="298"/>
      <c r="CH17" s="363"/>
      <c r="CI17" s="363"/>
      <c r="CJ17" s="363"/>
      <c r="CK17" s="363"/>
      <c r="CL17" s="320"/>
      <c r="CM17" s="372"/>
      <c r="CN17" s="298"/>
      <c r="CO17" s="363"/>
      <c r="CP17" s="363"/>
      <c r="CQ17" s="363"/>
      <c r="CR17" s="363"/>
      <c r="CS17" s="320"/>
      <c r="CT17" s="372"/>
      <c r="CU17" s="298"/>
      <c r="CV17" s="387"/>
      <c r="CW17" s="387"/>
      <c r="CX17" s="387"/>
      <c r="CY17" s="387"/>
      <c r="CZ17" s="387"/>
      <c r="DA17" s="387"/>
      <c r="DB17" s="298"/>
      <c r="DC17" s="363"/>
      <c r="DD17" s="363"/>
      <c r="DE17" s="363"/>
      <c r="DF17" s="363"/>
      <c r="DG17" s="320"/>
      <c r="DH17" s="372"/>
      <c r="DI17" s="298"/>
      <c r="DJ17" s="314"/>
      <c r="DK17" s="314"/>
      <c r="DL17" s="314"/>
      <c r="DM17" s="314"/>
      <c r="DN17" s="320"/>
      <c r="DO17" s="315"/>
      <c r="DP17" s="298"/>
      <c r="DQ17" s="314"/>
      <c r="DR17" s="314"/>
      <c r="DS17" s="314"/>
      <c r="DT17" s="314"/>
      <c r="DU17" s="320"/>
      <c r="DV17" s="315"/>
      <c r="DX17" s="314"/>
      <c r="DY17" s="314"/>
      <c r="DZ17" s="314"/>
      <c r="EA17" s="314"/>
      <c r="EB17" s="320"/>
      <c r="EC17" s="315"/>
      <c r="EE17" s="8"/>
      <c r="EF17" s="8"/>
      <c r="EG17" s="313"/>
      <c r="EH17" s="313"/>
      <c r="EI17" s="305"/>
      <c r="EJ17" s="342"/>
      <c r="EK17" s="298"/>
      <c r="EL17" s="314"/>
      <c r="EM17" s="314"/>
      <c r="EN17" s="314"/>
      <c r="EO17" s="314"/>
      <c r="EP17" s="320"/>
      <c r="EQ17" s="315"/>
      <c r="ER17" s="298"/>
      <c r="ES17" s="344"/>
      <c r="ET17" s="8"/>
      <c r="EU17" s="313"/>
      <c r="EV17" s="313"/>
      <c r="EW17" s="305"/>
      <c r="EX17" s="342"/>
      <c r="EY17" s="298"/>
      <c r="EZ17" s="344"/>
      <c r="FA17" s="8"/>
      <c r="FB17" s="313"/>
      <c r="FC17" s="313"/>
      <c r="FD17" s="305"/>
      <c r="FE17" s="342"/>
      <c r="FF17" s="298"/>
      <c r="FG17" s="8"/>
      <c r="FH17" s="8"/>
      <c r="FI17" s="313"/>
      <c r="FJ17" s="313"/>
      <c r="FK17" s="305"/>
      <c r="FL17" s="342"/>
      <c r="FM17" s="298"/>
      <c r="FN17" s="344"/>
      <c r="FO17" s="8"/>
      <c r="FP17" s="313"/>
      <c r="FQ17" s="313"/>
      <c r="FR17" s="305"/>
      <c r="FS17" s="342"/>
      <c r="FT17" s="356"/>
      <c r="FU17" s="363"/>
      <c r="FV17" s="363"/>
      <c r="FW17" s="363"/>
      <c r="FX17" s="363"/>
      <c r="FY17" s="320"/>
      <c r="FZ17" s="372"/>
      <c r="GA17" s="298"/>
      <c r="GB17" s="344"/>
      <c r="GC17" s="8"/>
      <c r="GD17" s="313"/>
      <c r="GE17" s="313"/>
      <c r="GF17" s="343"/>
      <c r="GG17" s="385"/>
    </row>
    <row r="18" spans="2:189" ht="15.75" thickBot="1">
      <c r="B18" s="344"/>
      <c r="C18" s="8"/>
      <c r="D18" s="313"/>
      <c r="E18" s="313"/>
      <c r="F18" s="343"/>
      <c r="G18" s="342"/>
      <c r="I18" s="314"/>
      <c r="J18" s="314"/>
      <c r="K18" s="314"/>
      <c r="L18" s="314"/>
      <c r="M18" s="320"/>
      <c r="N18" s="315"/>
      <c r="O18" s="298"/>
      <c r="P18" s="455" t="s">
        <v>296</v>
      </c>
      <c r="Q18" s="456"/>
      <c r="R18" s="456"/>
      <c r="S18" s="456"/>
      <c r="T18" s="456"/>
      <c r="U18" s="457"/>
      <c r="V18" s="298"/>
      <c r="W18" s="344"/>
      <c r="X18" s="8"/>
      <c r="Y18" s="313"/>
      <c r="Z18" s="313"/>
      <c r="AA18" s="343"/>
      <c r="AB18" s="342"/>
      <c r="AC18" s="298"/>
      <c r="AD18" s="344"/>
      <c r="AE18" s="8"/>
      <c r="AF18" s="313"/>
      <c r="AG18" s="313"/>
      <c r="AH18" s="343"/>
      <c r="AI18" s="342"/>
      <c r="AJ18" s="298"/>
      <c r="AK18" s="314"/>
      <c r="AL18" s="314"/>
      <c r="AM18" s="314"/>
      <c r="AN18" s="314"/>
      <c r="AO18" s="320"/>
      <c r="AP18" s="315"/>
      <c r="AQ18" s="298"/>
      <c r="AR18" s="344"/>
      <c r="AS18" s="8"/>
      <c r="AT18" s="313"/>
      <c r="AU18" s="313"/>
      <c r="AV18" s="343"/>
      <c r="AW18" s="342"/>
      <c r="AX18" s="298"/>
      <c r="AY18" s="475"/>
      <c r="AZ18" s="476"/>
      <c r="BA18" s="476"/>
      <c r="BB18" s="476"/>
      <c r="BC18" s="476"/>
      <c r="BD18" s="477"/>
      <c r="BE18" s="298"/>
      <c r="BF18" s="314"/>
      <c r="BG18" s="314"/>
      <c r="BH18" s="314"/>
      <c r="BI18" s="314"/>
      <c r="BJ18" s="320"/>
      <c r="BK18" s="315"/>
      <c r="BM18" s="363"/>
      <c r="BN18" s="363"/>
      <c r="BO18" s="363"/>
      <c r="BP18" s="363"/>
      <c r="BQ18" s="320"/>
      <c r="BR18" s="372"/>
      <c r="BT18" s="363"/>
      <c r="BU18" s="363"/>
      <c r="BV18" s="363"/>
      <c r="BW18" s="363"/>
      <c r="BX18" s="320"/>
      <c r="BY18" s="372"/>
      <c r="BZ18" s="298"/>
      <c r="CA18" s="363"/>
      <c r="CB18" s="363"/>
      <c r="CC18" s="363"/>
      <c r="CD18" s="363"/>
      <c r="CE18" s="320"/>
      <c r="CF18" s="372"/>
      <c r="CG18" s="298"/>
      <c r="CH18" s="363"/>
      <c r="CI18" s="363"/>
      <c r="CJ18" s="363"/>
      <c r="CK18" s="363"/>
      <c r="CL18" s="320"/>
      <c r="CM18" s="372"/>
      <c r="CN18" s="298"/>
      <c r="CO18" s="363"/>
      <c r="CP18" s="363"/>
      <c r="CQ18" s="363"/>
      <c r="CR18" s="363"/>
      <c r="CS18" s="320"/>
      <c r="CT18" s="372"/>
      <c r="CU18" s="298"/>
      <c r="CV18" s="387"/>
      <c r="CW18" s="387"/>
      <c r="CX18" s="387"/>
      <c r="CY18" s="387"/>
      <c r="CZ18" s="387"/>
      <c r="DA18" s="387"/>
      <c r="DB18" s="298"/>
      <c r="DC18" s="363"/>
      <c r="DD18" s="363"/>
      <c r="DE18" s="363"/>
      <c r="DF18" s="363"/>
      <c r="DG18" s="320"/>
      <c r="DH18" s="372"/>
      <c r="DI18" s="298"/>
      <c r="DJ18" s="314"/>
      <c r="DK18" s="314"/>
      <c r="DL18" s="314"/>
      <c r="DM18" s="314"/>
      <c r="DN18" s="320"/>
      <c r="DO18" s="315"/>
      <c r="DP18" s="298"/>
      <c r="DQ18" s="314"/>
      <c r="DR18" s="314"/>
      <c r="DS18" s="314"/>
      <c r="DT18" s="314"/>
      <c r="DU18" s="320"/>
      <c r="DV18" s="315"/>
      <c r="DX18" s="314"/>
      <c r="DY18" s="314"/>
      <c r="DZ18" s="314"/>
      <c r="EA18" s="314"/>
      <c r="EB18" s="320"/>
      <c r="EC18" s="315"/>
      <c r="EE18" s="8"/>
      <c r="EF18" s="8"/>
      <c r="EG18" s="313"/>
      <c r="EH18" s="313"/>
      <c r="EI18" s="305"/>
      <c r="EJ18" s="342"/>
      <c r="EK18" s="298"/>
      <c r="EL18" s="314"/>
      <c r="EM18" s="314"/>
      <c r="EN18" s="314"/>
      <c r="EO18" s="314"/>
      <c r="EP18" s="320"/>
      <c r="EQ18" s="315"/>
      <c r="ER18" s="298"/>
      <c r="ES18" s="344"/>
      <c r="ET18" s="8"/>
      <c r="EU18" s="313"/>
      <c r="EV18" s="313"/>
      <c r="EW18" s="305"/>
      <c r="EX18" s="342"/>
      <c r="EY18" s="298"/>
      <c r="EZ18" s="344"/>
      <c r="FA18" s="8"/>
      <c r="FB18" s="313"/>
      <c r="FC18" s="313"/>
      <c r="FD18" s="305"/>
      <c r="FE18" s="342"/>
      <c r="FF18" s="298"/>
      <c r="FG18" s="8"/>
      <c r="FH18" s="8"/>
      <c r="FI18" s="313"/>
      <c r="FJ18" s="313"/>
      <c r="FK18" s="305"/>
      <c r="FL18" s="342"/>
      <c r="FM18" s="298"/>
      <c r="FN18" s="344"/>
      <c r="FO18" s="8"/>
      <c r="FP18" s="313"/>
      <c r="FQ18" s="313"/>
      <c r="FR18" s="305"/>
      <c r="FS18" s="342"/>
      <c r="FT18" s="356"/>
      <c r="FU18" s="363"/>
      <c r="FV18" s="363"/>
      <c r="FW18" s="363"/>
      <c r="FX18" s="363"/>
      <c r="FY18" s="320"/>
      <c r="FZ18" s="372"/>
      <c r="GA18" s="298"/>
      <c r="GB18" s="344"/>
      <c r="GC18" s="8"/>
      <c r="GD18" s="313"/>
      <c r="GE18" s="313"/>
      <c r="GF18" s="343"/>
      <c r="GG18" s="342"/>
    </row>
    <row r="19" spans="2:189" ht="15" customHeight="1" thickBot="1">
      <c r="B19" s="455" t="s">
        <v>296</v>
      </c>
      <c r="C19" s="456"/>
      <c r="D19" s="456"/>
      <c r="E19" s="456"/>
      <c r="F19" s="456"/>
      <c r="G19" s="457"/>
      <c r="H19" s="298"/>
      <c r="I19" s="455" t="s">
        <v>296</v>
      </c>
      <c r="J19" s="456"/>
      <c r="K19" s="456"/>
      <c r="L19" s="456"/>
      <c r="M19" s="456"/>
      <c r="N19" s="457"/>
      <c r="O19" s="298"/>
      <c r="P19" s="475"/>
      <c r="Q19" s="476"/>
      <c r="R19" s="476"/>
      <c r="S19" s="476"/>
      <c r="T19" s="476"/>
      <c r="U19" s="477"/>
      <c r="V19" s="298"/>
      <c r="W19" s="455" t="s">
        <v>296</v>
      </c>
      <c r="X19" s="456"/>
      <c r="Y19" s="456"/>
      <c r="Z19" s="456"/>
      <c r="AA19" s="456"/>
      <c r="AB19" s="457"/>
      <c r="AC19" s="298"/>
      <c r="AD19" s="455" t="s">
        <v>296</v>
      </c>
      <c r="AE19" s="456"/>
      <c r="AF19" s="456"/>
      <c r="AG19" s="456"/>
      <c r="AH19" s="456"/>
      <c r="AI19" s="457"/>
      <c r="AJ19" s="298"/>
      <c r="AK19" s="455" t="s">
        <v>296</v>
      </c>
      <c r="AL19" s="456"/>
      <c r="AM19" s="456"/>
      <c r="AN19" s="456"/>
      <c r="AO19" s="456"/>
      <c r="AP19" s="457"/>
      <c r="AQ19" s="298"/>
      <c r="AR19" s="455" t="s">
        <v>296</v>
      </c>
      <c r="AS19" s="456"/>
      <c r="AT19" s="456"/>
      <c r="AU19" s="456"/>
      <c r="AV19" s="456"/>
      <c r="AW19" s="457"/>
      <c r="AX19" s="298"/>
      <c r="AY19" s="478" t="s">
        <v>280</v>
      </c>
      <c r="AZ19" s="479"/>
      <c r="BA19" s="479"/>
      <c r="BB19" s="479"/>
      <c r="BC19" s="479"/>
      <c r="BD19" s="480"/>
      <c r="BE19" s="298"/>
      <c r="BF19" s="455" t="s">
        <v>296</v>
      </c>
      <c r="BG19" s="456"/>
      <c r="BH19" s="456"/>
      <c r="BI19" s="456"/>
      <c r="BJ19" s="456"/>
      <c r="BK19" s="457"/>
      <c r="BM19" s="455" t="s">
        <v>296</v>
      </c>
      <c r="BN19" s="456"/>
      <c r="BO19" s="456"/>
      <c r="BP19" s="456"/>
      <c r="BQ19" s="456"/>
      <c r="BR19" s="457"/>
      <c r="BS19" s="298"/>
      <c r="BT19" s="455" t="s">
        <v>296</v>
      </c>
      <c r="BU19" s="456"/>
      <c r="BV19" s="456"/>
      <c r="BW19" s="456"/>
      <c r="BX19" s="456"/>
      <c r="BY19" s="457"/>
      <c r="BZ19" s="298"/>
      <c r="CA19" s="455" t="s">
        <v>296</v>
      </c>
      <c r="CB19" s="456"/>
      <c r="CC19" s="456"/>
      <c r="CD19" s="456"/>
      <c r="CE19" s="456"/>
      <c r="CF19" s="457"/>
      <c r="CG19" s="298"/>
      <c r="CH19" s="455" t="s">
        <v>296</v>
      </c>
      <c r="CI19" s="456"/>
      <c r="CJ19" s="456"/>
      <c r="CK19" s="456"/>
      <c r="CL19" s="456"/>
      <c r="CM19" s="457"/>
      <c r="CN19" s="298"/>
      <c r="CO19" s="455" t="s">
        <v>296</v>
      </c>
      <c r="CP19" s="456"/>
      <c r="CQ19" s="456"/>
      <c r="CR19" s="456"/>
      <c r="CS19" s="456"/>
      <c r="CT19" s="457"/>
      <c r="CU19" s="298"/>
      <c r="CV19" s="455" t="s">
        <v>296</v>
      </c>
      <c r="CW19" s="456"/>
      <c r="CX19" s="456"/>
      <c r="CY19" s="456"/>
      <c r="CZ19" s="456"/>
      <c r="DA19" s="457"/>
      <c r="DB19" s="298"/>
      <c r="DC19" s="455" t="s">
        <v>296</v>
      </c>
      <c r="DD19" s="456"/>
      <c r="DE19" s="456"/>
      <c r="DF19" s="456"/>
      <c r="DG19" s="456"/>
      <c r="DH19" s="457"/>
      <c r="DI19" s="298"/>
      <c r="DJ19" s="455" t="s">
        <v>296</v>
      </c>
      <c r="DK19" s="456"/>
      <c r="DL19" s="456"/>
      <c r="DM19" s="456"/>
      <c r="DN19" s="456"/>
      <c r="DO19" s="457"/>
      <c r="DP19" s="298"/>
      <c r="DQ19" s="455" t="s">
        <v>296</v>
      </c>
      <c r="DR19" s="456"/>
      <c r="DS19" s="456"/>
      <c r="DT19" s="456"/>
      <c r="DU19" s="456"/>
      <c r="DV19" s="457"/>
      <c r="DX19" s="455" t="s">
        <v>296</v>
      </c>
      <c r="DY19" s="456"/>
      <c r="DZ19" s="456"/>
      <c r="EA19" s="456"/>
      <c r="EB19" s="456"/>
      <c r="EC19" s="457"/>
      <c r="ED19" s="298"/>
      <c r="EE19" s="455" t="s">
        <v>296</v>
      </c>
      <c r="EF19" s="456"/>
      <c r="EG19" s="456"/>
      <c r="EH19" s="456"/>
      <c r="EI19" s="456"/>
      <c r="EJ19" s="457"/>
      <c r="EK19" s="298"/>
      <c r="EL19" s="455" t="s">
        <v>296</v>
      </c>
      <c r="EM19" s="456"/>
      <c r="EN19" s="456"/>
      <c r="EO19" s="456"/>
      <c r="EP19" s="456"/>
      <c r="EQ19" s="457"/>
      <c r="ER19" s="298"/>
      <c r="ES19" s="455" t="s">
        <v>296</v>
      </c>
      <c r="ET19" s="456"/>
      <c r="EU19" s="456"/>
      <c r="EV19" s="456"/>
      <c r="EW19" s="456"/>
      <c r="EX19" s="457"/>
      <c r="EY19" s="298"/>
      <c r="EZ19" s="455" t="s">
        <v>296</v>
      </c>
      <c r="FA19" s="456"/>
      <c r="FB19" s="456"/>
      <c r="FC19" s="456"/>
      <c r="FD19" s="456"/>
      <c r="FE19" s="457"/>
      <c r="FF19" s="298"/>
      <c r="FG19" s="455" t="s">
        <v>296</v>
      </c>
      <c r="FH19" s="456"/>
      <c r="FI19" s="456"/>
      <c r="FJ19" s="456"/>
      <c r="FK19" s="456"/>
      <c r="FL19" s="457"/>
      <c r="FM19" s="298"/>
      <c r="FN19" s="455" t="s">
        <v>296</v>
      </c>
      <c r="FO19" s="456"/>
      <c r="FP19" s="456"/>
      <c r="FQ19" s="456"/>
      <c r="FR19" s="456"/>
      <c r="FS19" s="457"/>
      <c r="FT19" s="357"/>
      <c r="FU19" s="455" t="s">
        <v>296</v>
      </c>
      <c r="FV19" s="456"/>
      <c r="FW19" s="456"/>
      <c r="FX19" s="456"/>
      <c r="FY19" s="456"/>
      <c r="FZ19" s="457"/>
      <c r="GA19" s="298"/>
      <c r="GB19" s="455" t="s">
        <v>296</v>
      </c>
      <c r="GC19" s="456"/>
      <c r="GD19" s="456"/>
      <c r="GE19" s="456"/>
      <c r="GF19" s="456"/>
      <c r="GG19" s="457"/>
    </row>
    <row r="20" spans="2:189" ht="15.75" customHeight="1" thickBot="1">
      <c r="B20" s="475"/>
      <c r="C20" s="476"/>
      <c r="D20" s="476"/>
      <c r="E20" s="476"/>
      <c r="F20" s="476"/>
      <c r="G20" s="477"/>
      <c r="H20" s="298"/>
      <c r="I20" s="475"/>
      <c r="J20" s="476"/>
      <c r="K20" s="476"/>
      <c r="L20" s="476"/>
      <c r="M20" s="476"/>
      <c r="N20" s="477"/>
      <c r="O20" s="298"/>
      <c r="P20" s="478" t="s">
        <v>280</v>
      </c>
      <c r="Q20" s="479"/>
      <c r="R20" s="479"/>
      <c r="S20" s="479"/>
      <c r="T20" s="479"/>
      <c r="U20" s="480"/>
      <c r="V20" s="298"/>
      <c r="W20" s="475"/>
      <c r="X20" s="476"/>
      <c r="Y20" s="476"/>
      <c r="Z20" s="476"/>
      <c r="AA20" s="476"/>
      <c r="AB20" s="477"/>
      <c r="AC20" s="298"/>
      <c r="AD20" s="475"/>
      <c r="AE20" s="476"/>
      <c r="AF20" s="476"/>
      <c r="AG20" s="476"/>
      <c r="AH20" s="476"/>
      <c r="AI20" s="477"/>
      <c r="AJ20" s="298"/>
      <c r="AK20" s="475"/>
      <c r="AL20" s="476"/>
      <c r="AM20" s="476"/>
      <c r="AN20" s="476"/>
      <c r="AO20" s="476"/>
      <c r="AP20" s="477"/>
      <c r="AQ20" s="298"/>
      <c r="AR20" s="475"/>
      <c r="AS20" s="476"/>
      <c r="AT20" s="476"/>
      <c r="AU20" s="476"/>
      <c r="AV20" s="476"/>
      <c r="AW20" s="477"/>
      <c r="AX20" s="298"/>
      <c r="AY20" s="471" t="s">
        <v>311</v>
      </c>
      <c r="AZ20" s="472"/>
      <c r="BA20" s="472"/>
      <c r="BB20" s="472"/>
      <c r="BC20" s="472"/>
      <c r="BD20" s="473"/>
      <c r="BE20" s="298"/>
      <c r="BF20" s="475"/>
      <c r="BG20" s="476"/>
      <c r="BH20" s="476"/>
      <c r="BI20" s="476"/>
      <c r="BJ20" s="476"/>
      <c r="BK20" s="477"/>
      <c r="BM20" s="475"/>
      <c r="BN20" s="476"/>
      <c r="BO20" s="476"/>
      <c r="BP20" s="476"/>
      <c r="BQ20" s="476"/>
      <c r="BR20" s="477"/>
      <c r="BS20" s="298"/>
      <c r="BT20" s="475"/>
      <c r="BU20" s="476"/>
      <c r="BV20" s="476"/>
      <c r="BW20" s="476"/>
      <c r="BX20" s="476"/>
      <c r="BY20" s="477"/>
      <c r="BZ20" s="298"/>
      <c r="CA20" s="475"/>
      <c r="CB20" s="476"/>
      <c r="CC20" s="476"/>
      <c r="CD20" s="476"/>
      <c r="CE20" s="476"/>
      <c r="CF20" s="477"/>
      <c r="CG20" s="298"/>
      <c r="CH20" s="475"/>
      <c r="CI20" s="476"/>
      <c r="CJ20" s="476"/>
      <c r="CK20" s="476"/>
      <c r="CL20" s="476"/>
      <c r="CM20" s="477"/>
      <c r="CN20" s="298"/>
      <c r="CO20" s="475"/>
      <c r="CP20" s="476"/>
      <c r="CQ20" s="476"/>
      <c r="CR20" s="476"/>
      <c r="CS20" s="476"/>
      <c r="CT20" s="477"/>
      <c r="CU20" s="298"/>
      <c r="CV20" s="455"/>
      <c r="CW20" s="456"/>
      <c r="CX20" s="456"/>
      <c r="CY20" s="456"/>
      <c r="CZ20" s="456"/>
      <c r="DA20" s="457"/>
      <c r="DB20" s="298"/>
      <c r="DC20" s="475"/>
      <c r="DD20" s="476"/>
      <c r="DE20" s="476"/>
      <c r="DF20" s="476"/>
      <c r="DG20" s="476"/>
      <c r="DH20" s="477"/>
      <c r="DI20" s="298"/>
      <c r="DJ20" s="475"/>
      <c r="DK20" s="476"/>
      <c r="DL20" s="476"/>
      <c r="DM20" s="476"/>
      <c r="DN20" s="476"/>
      <c r="DO20" s="477"/>
      <c r="DP20" s="298"/>
      <c r="DQ20" s="475"/>
      <c r="DR20" s="476"/>
      <c r="DS20" s="476"/>
      <c r="DT20" s="476"/>
      <c r="DU20" s="476"/>
      <c r="DV20" s="477"/>
      <c r="DX20" s="475"/>
      <c r="DY20" s="476"/>
      <c r="DZ20" s="476"/>
      <c r="EA20" s="476"/>
      <c r="EB20" s="476"/>
      <c r="EC20" s="477"/>
      <c r="ED20" s="298"/>
      <c r="EE20" s="475"/>
      <c r="EF20" s="476"/>
      <c r="EG20" s="476"/>
      <c r="EH20" s="476"/>
      <c r="EI20" s="476"/>
      <c r="EJ20" s="477"/>
      <c r="EK20" s="298"/>
      <c r="EL20" s="475"/>
      <c r="EM20" s="476"/>
      <c r="EN20" s="476"/>
      <c r="EO20" s="476"/>
      <c r="EP20" s="476"/>
      <c r="EQ20" s="477"/>
      <c r="ER20" s="298"/>
      <c r="ES20" s="475"/>
      <c r="ET20" s="476"/>
      <c r="EU20" s="476"/>
      <c r="EV20" s="476"/>
      <c r="EW20" s="476"/>
      <c r="EX20" s="477"/>
      <c r="EY20" s="298"/>
      <c r="EZ20" s="475"/>
      <c r="FA20" s="476"/>
      <c r="FB20" s="476"/>
      <c r="FC20" s="476"/>
      <c r="FD20" s="476"/>
      <c r="FE20" s="477"/>
      <c r="FF20" s="298"/>
      <c r="FG20" s="475"/>
      <c r="FH20" s="476"/>
      <c r="FI20" s="476"/>
      <c r="FJ20" s="476"/>
      <c r="FK20" s="476"/>
      <c r="FL20" s="477"/>
      <c r="FM20" s="298"/>
      <c r="FN20" s="475"/>
      <c r="FO20" s="476"/>
      <c r="FP20" s="476"/>
      <c r="FQ20" s="476"/>
      <c r="FR20" s="476"/>
      <c r="FS20" s="477"/>
      <c r="FT20" s="8"/>
      <c r="FU20" s="475"/>
      <c r="FV20" s="476"/>
      <c r="FW20" s="476"/>
      <c r="FX20" s="476"/>
      <c r="FY20" s="476"/>
      <c r="FZ20" s="477"/>
      <c r="GA20" s="298"/>
      <c r="GB20" s="475"/>
      <c r="GC20" s="476"/>
      <c r="GD20" s="476"/>
      <c r="GE20" s="476"/>
      <c r="GF20" s="476"/>
      <c r="GG20" s="477"/>
    </row>
    <row r="21" spans="2:189" ht="15.75" customHeight="1" thickBot="1">
      <c r="B21" s="478" t="s">
        <v>280</v>
      </c>
      <c r="C21" s="479"/>
      <c r="D21" s="479"/>
      <c r="E21" s="479"/>
      <c r="F21" s="479"/>
      <c r="G21" s="480"/>
      <c r="H21" s="298"/>
      <c r="I21" s="478" t="s">
        <v>280</v>
      </c>
      <c r="J21" s="479"/>
      <c r="K21" s="479"/>
      <c r="L21" s="479"/>
      <c r="M21" s="479"/>
      <c r="N21" s="480"/>
      <c r="O21" s="298"/>
      <c r="P21" s="471" t="s">
        <v>311</v>
      </c>
      <c r="Q21" s="472"/>
      <c r="R21" s="472"/>
      <c r="S21" s="472"/>
      <c r="T21" s="472"/>
      <c r="U21" s="473"/>
      <c r="V21" s="298"/>
      <c r="W21" s="478" t="s">
        <v>280</v>
      </c>
      <c r="X21" s="479"/>
      <c r="Y21" s="479"/>
      <c r="Z21" s="479"/>
      <c r="AA21" s="479"/>
      <c r="AB21" s="480"/>
      <c r="AC21" s="298"/>
      <c r="AD21" s="478" t="s">
        <v>280</v>
      </c>
      <c r="AE21" s="479"/>
      <c r="AF21" s="479"/>
      <c r="AG21" s="479"/>
      <c r="AH21" s="479"/>
      <c r="AI21" s="480"/>
      <c r="AJ21" s="298"/>
      <c r="AK21" s="478" t="s">
        <v>280</v>
      </c>
      <c r="AL21" s="479"/>
      <c r="AM21" s="479"/>
      <c r="AN21" s="479"/>
      <c r="AO21" s="479"/>
      <c r="AP21" s="480"/>
      <c r="AQ21" s="298"/>
      <c r="AR21" s="478" t="s">
        <v>280</v>
      </c>
      <c r="AS21" s="479"/>
      <c r="AT21" s="479"/>
      <c r="AU21" s="479"/>
      <c r="AV21" s="479"/>
      <c r="AW21" s="480"/>
      <c r="AX21" s="298"/>
      <c r="AY21" s="443" t="s">
        <v>312</v>
      </c>
      <c r="AZ21" s="444"/>
      <c r="BA21" s="444"/>
      <c r="BB21" s="445"/>
      <c r="BC21" s="316">
        <f>BC13</f>
        <v>36.04086</v>
      </c>
      <c r="BD21" s="321" t="s">
        <v>3</v>
      </c>
      <c r="BE21" s="298"/>
      <c r="BF21" s="478" t="s">
        <v>280</v>
      </c>
      <c r="BG21" s="479"/>
      <c r="BH21" s="479"/>
      <c r="BI21" s="479"/>
      <c r="BJ21" s="479"/>
      <c r="BK21" s="480"/>
      <c r="BM21" s="478" t="s">
        <v>280</v>
      </c>
      <c r="BN21" s="479"/>
      <c r="BO21" s="479"/>
      <c r="BP21" s="479"/>
      <c r="BQ21" s="479"/>
      <c r="BR21" s="480"/>
      <c r="BS21" s="298"/>
      <c r="BT21" s="478" t="s">
        <v>280</v>
      </c>
      <c r="BU21" s="479"/>
      <c r="BV21" s="479"/>
      <c r="BW21" s="479"/>
      <c r="BX21" s="479"/>
      <c r="BY21" s="480"/>
      <c r="BZ21" s="298"/>
      <c r="CA21" s="478" t="s">
        <v>280</v>
      </c>
      <c r="CB21" s="479"/>
      <c r="CC21" s="479"/>
      <c r="CD21" s="479"/>
      <c r="CE21" s="479"/>
      <c r="CF21" s="480"/>
      <c r="CG21" s="298"/>
      <c r="CH21" s="478" t="s">
        <v>280</v>
      </c>
      <c r="CI21" s="479"/>
      <c r="CJ21" s="479"/>
      <c r="CK21" s="479"/>
      <c r="CL21" s="479"/>
      <c r="CM21" s="480"/>
      <c r="CN21" s="298"/>
      <c r="CO21" s="478" t="s">
        <v>280</v>
      </c>
      <c r="CP21" s="479"/>
      <c r="CQ21" s="479"/>
      <c r="CR21" s="479"/>
      <c r="CS21" s="479"/>
      <c r="CT21" s="480"/>
      <c r="CU21" s="298"/>
      <c r="CV21" s="478" t="s">
        <v>280</v>
      </c>
      <c r="CW21" s="479"/>
      <c r="CX21" s="479"/>
      <c r="CY21" s="479"/>
      <c r="CZ21" s="479"/>
      <c r="DA21" s="480"/>
      <c r="DB21" s="298"/>
      <c r="DC21" s="478" t="s">
        <v>280</v>
      </c>
      <c r="DD21" s="479"/>
      <c r="DE21" s="479"/>
      <c r="DF21" s="479"/>
      <c r="DG21" s="479"/>
      <c r="DH21" s="480"/>
      <c r="DI21" s="298"/>
      <c r="DJ21" s="478" t="s">
        <v>280</v>
      </c>
      <c r="DK21" s="479"/>
      <c r="DL21" s="479"/>
      <c r="DM21" s="479"/>
      <c r="DN21" s="479"/>
      <c r="DO21" s="480"/>
      <c r="DP21" s="298"/>
      <c r="DQ21" s="478" t="s">
        <v>280</v>
      </c>
      <c r="DR21" s="479"/>
      <c r="DS21" s="479"/>
      <c r="DT21" s="479"/>
      <c r="DU21" s="479"/>
      <c r="DV21" s="480"/>
      <c r="DX21" s="478" t="s">
        <v>280</v>
      </c>
      <c r="DY21" s="479"/>
      <c r="DZ21" s="479"/>
      <c r="EA21" s="479"/>
      <c r="EB21" s="479"/>
      <c r="EC21" s="480"/>
      <c r="ED21" s="298"/>
      <c r="EE21" s="478" t="s">
        <v>280</v>
      </c>
      <c r="EF21" s="479"/>
      <c r="EG21" s="479"/>
      <c r="EH21" s="479"/>
      <c r="EI21" s="479"/>
      <c r="EJ21" s="480"/>
      <c r="EK21" s="298"/>
      <c r="EL21" s="478" t="s">
        <v>280</v>
      </c>
      <c r="EM21" s="479"/>
      <c r="EN21" s="479"/>
      <c r="EO21" s="479"/>
      <c r="EP21" s="479"/>
      <c r="EQ21" s="480"/>
      <c r="ER21" s="298"/>
      <c r="ES21" s="478" t="s">
        <v>280</v>
      </c>
      <c r="ET21" s="479"/>
      <c r="EU21" s="479"/>
      <c r="EV21" s="479"/>
      <c r="EW21" s="479"/>
      <c r="EX21" s="480"/>
      <c r="EY21" s="298"/>
      <c r="EZ21" s="478" t="s">
        <v>280</v>
      </c>
      <c r="FA21" s="479"/>
      <c r="FB21" s="479"/>
      <c r="FC21" s="479"/>
      <c r="FD21" s="479"/>
      <c r="FE21" s="480"/>
      <c r="FF21" s="298"/>
      <c r="FG21" s="478" t="s">
        <v>280</v>
      </c>
      <c r="FH21" s="479"/>
      <c r="FI21" s="479"/>
      <c r="FJ21" s="479"/>
      <c r="FK21" s="479"/>
      <c r="FL21" s="480"/>
      <c r="FM21" s="298"/>
      <c r="FN21" s="478" t="s">
        <v>280</v>
      </c>
      <c r="FO21" s="479"/>
      <c r="FP21" s="479"/>
      <c r="FQ21" s="479"/>
      <c r="FR21" s="479"/>
      <c r="FS21" s="480"/>
      <c r="FT21" s="354"/>
      <c r="FU21" s="478" t="s">
        <v>280</v>
      </c>
      <c r="FV21" s="479"/>
      <c r="FW21" s="479"/>
      <c r="FX21" s="479"/>
      <c r="FY21" s="479"/>
      <c r="FZ21" s="480"/>
      <c r="GA21" s="298"/>
      <c r="GB21" s="478" t="s">
        <v>280</v>
      </c>
      <c r="GC21" s="479"/>
      <c r="GD21" s="479"/>
      <c r="GE21" s="479"/>
      <c r="GF21" s="479"/>
      <c r="GG21" s="480"/>
    </row>
    <row r="22" spans="2:189" ht="15" customHeight="1">
      <c r="B22" s="471" t="s">
        <v>311</v>
      </c>
      <c r="C22" s="472"/>
      <c r="D22" s="472"/>
      <c r="E22" s="472"/>
      <c r="F22" s="472"/>
      <c r="G22" s="473"/>
      <c r="H22" s="298"/>
      <c r="I22" s="471" t="s">
        <v>311</v>
      </c>
      <c r="J22" s="472"/>
      <c r="K22" s="472"/>
      <c r="L22" s="472"/>
      <c r="M22" s="472"/>
      <c r="N22" s="473"/>
      <c r="O22" s="298"/>
      <c r="P22" s="443" t="s">
        <v>312</v>
      </c>
      <c r="Q22" s="444"/>
      <c r="R22" s="444"/>
      <c r="S22" s="445"/>
      <c r="T22" s="316">
        <f>T13</f>
        <v>39.782059999999994</v>
      </c>
      <c r="U22" s="321" t="s">
        <v>3</v>
      </c>
      <c r="V22" s="298"/>
      <c r="W22" s="471" t="s">
        <v>311</v>
      </c>
      <c r="X22" s="472"/>
      <c r="Y22" s="472"/>
      <c r="Z22" s="472"/>
      <c r="AA22" s="472"/>
      <c r="AB22" s="473"/>
      <c r="AC22" s="298"/>
      <c r="AD22" s="471" t="s">
        <v>297</v>
      </c>
      <c r="AE22" s="472"/>
      <c r="AF22" s="472"/>
      <c r="AG22" s="472"/>
      <c r="AH22" s="472"/>
      <c r="AI22" s="473"/>
      <c r="AJ22" s="298"/>
      <c r="AK22" s="471" t="s">
        <v>297</v>
      </c>
      <c r="AL22" s="472"/>
      <c r="AM22" s="472"/>
      <c r="AN22" s="472"/>
      <c r="AO22" s="472"/>
      <c r="AP22" s="473"/>
      <c r="AQ22" s="298"/>
      <c r="AR22" s="471" t="s">
        <v>311</v>
      </c>
      <c r="AS22" s="472"/>
      <c r="AT22" s="472"/>
      <c r="AU22" s="472"/>
      <c r="AV22" s="472"/>
      <c r="AW22" s="473"/>
      <c r="AX22" s="298"/>
      <c r="AY22" s="443" t="s">
        <v>362</v>
      </c>
      <c r="AZ22" s="444"/>
      <c r="BA22" s="444"/>
      <c r="BB22" s="445"/>
      <c r="BC22" s="304">
        <v>4.8</v>
      </c>
      <c r="BD22" s="321" t="s">
        <v>3</v>
      </c>
      <c r="BE22" s="298"/>
      <c r="BF22" s="471" t="s">
        <v>311</v>
      </c>
      <c r="BG22" s="472"/>
      <c r="BH22" s="472"/>
      <c r="BI22" s="472"/>
      <c r="BJ22" s="472"/>
      <c r="BK22" s="473"/>
      <c r="BM22" s="471" t="s">
        <v>297</v>
      </c>
      <c r="BN22" s="472"/>
      <c r="BO22" s="472"/>
      <c r="BP22" s="472"/>
      <c r="BQ22" s="472"/>
      <c r="BR22" s="473"/>
      <c r="BS22" s="298"/>
      <c r="BT22" s="471" t="s">
        <v>297</v>
      </c>
      <c r="BU22" s="472"/>
      <c r="BV22" s="472"/>
      <c r="BW22" s="472"/>
      <c r="BX22" s="472"/>
      <c r="BY22" s="473"/>
      <c r="BZ22" s="298"/>
      <c r="CA22" s="471" t="s">
        <v>297</v>
      </c>
      <c r="CB22" s="472"/>
      <c r="CC22" s="472"/>
      <c r="CD22" s="472"/>
      <c r="CE22" s="472"/>
      <c r="CF22" s="473"/>
      <c r="CG22" s="298"/>
      <c r="CH22" s="471" t="s">
        <v>297</v>
      </c>
      <c r="CI22" s="472"/>
      <c r="CJ22" s="472"/>
      <c r="CK22" s="472"/>
      <c r="CL22" s="472"/>
      <c r="CM22" s="473"/>
      <c r="CN22" s="298"/>
      <c r="CO22" s="471" t="s">
        <v>297</v>
      </c>
      <c r="CP22" s="472"/>
      <c r="CQ22" s="472"/>
      <c r="CR22" s="472"/>
      <c r="CS22" s="472"/>
      <c r="CT22" s="473"/>
      <c r="CU22" s="298"/>
      <c r="CV22" s="471" t="s">
        <v>297</v>
      </c>
      <c r="CW22" s="472"/>
      <c r="CX22" s="472"/>
      <c r="CY22" s="472"/>
      <c r="CZ22" s="472"/>
      <c r="DA22" s="473"/>
      <c r="DB22" s="298"/>
      <c r="DC22" s="471" t="s">
        <v>297</v>
      </c>
      <c r="DD22" s="472"/>
      <c r="DE22" s="472"/>
      <c r="DF22" s="472"/>
      <c r="DG22" s="472"/>
      <c r="DH22" s="473"/>
      <c r="DI22" s="298"/>
      <c r="DJ22" s="471" t="s">
        <v>297</v>
      </c>
      <c r="DK22" s="472"/>
      <c r="DL22" s="472"/>
      <c r="DM22" s="472"/>
      <c r="DN22" s="472"/>
      <c r="DO22" s="473"/>
      <c r="DP22" s="298"/>
      <c r="DQ22" s="471" t="s">
        <v>352</v>
      </c>
      <c r="DR22" s="472"/>
      <c r="DS22" s="472"/>
      <c r="DT22" s="472"/>
      <c r="DU22" s="472"/>
      <c r="DV22" s="473"/>
      <c r="DX22" s="471" t="s">
        <v>352</v>
      </c>
      <c r="DY22" s="472"/>
      <c r="DZ22" s="472"/>
      <c r="EA22" s="472"/>
      <c r="EB22" s="472"/>
      <c r="EC22" s="473"/>
      <c r="ED22" s="298"/>
      <c r="EE22" s="471" t="s">
        <v>297</v>
      </c>
      <c r="EF22" s="472"/>
      <c r="EG22" s="472"/>
      <c r="EH22" s="472"/>
      <c r="EI22" s="472"/>
      <c r="EJ22" s="473"/>
      <c r="EK22" s="298"/>
      <c r="EL22" s="471" t="s">
        <v>297</v>
      </c>
      <c r="EM22" s="472"/>
      <c r="EN22" s="472"/>
      <c r="EO22" s="472"/>
      <c r="EP22" s="472"/>
      <c r="EQ22" s="473"/>
      <c r="ER22" s="298"/>
      <c r="ES22" s="471" t="s">
        <v>311</v>
      </c>
      <c r="ET22" s="472"/>
      <c r="EU22" s="472"/>
      <c r="EV22" s="472"/>
      <c r="EW22" s="472"/>
      <c r="EX22" s="473"/>
      <c r="EY22" s="298"/>
      <c r="EZ22" s="471" t="s">
        <v>297</v>
      </c>
      <c r="FA22" s="472"/>
      <c r="FB22" s="472"/>
      <c r="FC22" s="472"/>
      <c r="FD22" s="472"/>
      <c r="FE22" s="473"/>
      <c r="FF22" s="298"/>
      <c r="FG22" s="471" t="s">
        <v>297</v>
      </c>
      <c r="FH22" s="472"/>
      <c r="FI22" s="472"/>
      <c r="FJ22" s="472"/>
      <c r="FK22" s="472"/>
      <c r="FL22" s="473"/>
      <c r="FM22" s="298"/>
      <c r="FN22" s="471" t="s">
        <v>311</v>
      </c>
      <c r="FO22" s="472"/>
      <c r="FP22" s="472"/>
      <c r="FQ22" s="472"/>
      <c r="FR22" s="472"/>
      <c r="FS22" s="473"/>
      <c r="FT22" s="354"/>
      <c r="FU22" s="471" t="s">
        <v>353</v>
      </c>
      <c r="FV22" s="472"/>
      <c r="FW22" s="472"/>
      <c r="FX22" s="472"/>
      <c r="FY22" s="472"/>
      <c r="FZ22" s="473"/>
      <c r="GA22" s="298"/>
      <c r="GB22" s="471" t="s">
        <v>478</v>
      </c>
      <c r="GC22" s="472"/>
      <c r="GD22" s="472"/>
      <c r="GE22" s="472"/>
      <c r="GF22" s="472"/>
      <c r="GG22" s="473"/>
    </row>
    <row r="23" spans="2:189" ht="15.75" thickBot="1">
      <c r="B23" s="443" t="s">
        <v>312</v>
      </c>
      <c r="C23" s="444"/>
      <c r="D23" s="444"/>
      <c r="E23" s="445"/>
      <c r="F23" s="316">
        <f>F13</f>
        <v>38.848949999999995</v>
      </c>
      <c r="G23" s="321" t="s">
        <v>3</v>
      </c>
      <c r="H23" s="298"/>
      <c r="I23" s="443" t="s">
        <v>312</v>
      </c>
      <c r="J23" s="444"/>
      <c r="K23" s="444"/>
      <c r="L23" s="445"/>
      <c r="M23" s="316">
        <f>M11</f>
        <v>18.250439999999998</v>
      </c>
      <c r="N23" s="321" t="s">
        <v>3</v>
      </c>
      <c r="O23" s="298"/>
      <c r="P23" s="443" t="s">
        <v>362</v>
      </c>
      <c r="Q23" s="444"/>
      <c r="R23" s="444"/>
      <c r="S23" s="445"/>
      <c r="T23" s="304">
        <v>4.8</v>
      </c>
      <c r="U23" s="321" t="s">
        <v>3</v>
      </c>
      <c r="V23" s="298"/>
      <c r="W23" s="443" t="s">
        <v>312</v>
      </c>
      <c r="X23" s="444"/>
      <c r="Y23" s="444"/>
      <c r="Z23" s="445"/>
      <c r="AA23" s="316">
        <f>AA12</f>
        <v>35.18339</v>
      </c>
      <c r="AB23" s="321" t="s">
        <v>3</v>
      </c>
      <c r="AC23" s="298"/>
      <c r="AD23" s="443" t="s">
        <v>312</v>
      </c>
      <c r="AE23" s="444"/>
      <c r="AF23" s="444"/>
      <c r="AG23" s="445"/>
      <c r="AH23" s="316">
        <f>AH12</f>
        <v>30.69419</v>
      </c>
      <c r="AI23" s="321" t="s">
        <v>3</v>
      </c>
      <c r="AJ23" s="298"/>
      <c r="AK23" s="443" t="s">
        <v>312</v>
      </c>
      <c r="AL23" s="444"/>
      <c r="AM23" s="444"/>
      <c r="AN23" s="445"/>
      <c r="AO23" s="316">
        <f>AO11</f>
        <v>26.229479999999995</v>
      </c>
      <c r="AP23" s="321" t="s">
        <v>3</v>
      </c>
      <c r="AQ23" s="298"/>
      <c r="AR23" s="443" t="s">
        <v>312</v>
      </c>
      <c r="AS23" s="444"/>
      <c r="AT23" s="444"/>
      <c r="AU23" s="445"/>
      <c r="AV23" s="316">
        <f>AV12</f>
        <v>31.914490000000004</v>
      </c>
      <c r="AW23" s="321" t="s">
        <v>3</v>
      </c>
      <c r="AX23" s="298"/>
      <c r="AY23" s="446" t="s">
        <v>281</v>
      </c>
      <c r="AZ23" s="447"/>
      <c r="BA23" s="447"/>
      <c r="BB23" s="448"/>
      <c r="BC23" s="317">
        <f>SUM(BC21:BC22)</f>
        <v>40.84086</v>
      </c>
      <c r="BD23" s="333" t="s">
        <v>3</v>
      </c>
      <c r="BE23" s="298"/>
      <c r="BF23" s="443" t="s">
        <v>312</v>
      </c>
      <c r="BG23" s="444"/>
      <c r="BH23" s="444"/>
      <c r="BI23" s="445"/>
      <c r="BJ23" s="316">
        <f>BJ16</f>
        <v>61.936910000000005</v>
      </c>
      <c r="BK23" s="321" t="s">
        <v>3</v>
      </c>
      <c r="BM23" s="443" t="s">
        <v>371</v>
      </c>
      <c r="BN23" s="444"/>
      <c r="BO23" s="444"/>
      <c r="BP23" s="445"/>
      <c r="BQ23" s="316">
        <v>5.5</v>
      </c>
      <c r="BR23" s="321" t="s">
        <v>3</v>
      </c>
      <c r="BS23" s="298"/>
      <c r="BT23" s="443" t="s">
        <v>312</v>
      </c>
      <c r="BU23" s="444"/>
      <c r="BV23" s="444"/>
      <c r="BW23" s="445"/>
      <c r="BX23" s="316">
        <f>BX14</f>
        <v>31.02581</v>
      </c>
      <c r="BY23" s="321" t="s">
        <v>3</v>
      </c>
      <c r="BZ23" s="298"/>
      <c r="CA23" s="443" t="s">
        <v>371</v>
      </c>
      <c r="CB23" s="444"/>
      <c r="CC23" s="444"/>
      <c r="CD23" s="445"/>
      <c r="CE23" s="316">
        <v>5.5</v>
      </c>
      <c r="CF23" s="321" t="s">
        <v>3</v>
      </c>
      <c r="CG23" s="298"/>
      <c r="CH23" s="443" t="s">
        <v>312</v>
      </c>
      <c r="CI23" s="444"/>
      <c r="CJ23" s="444"/>
      <c r="CK23" s="445"/>
      <c r="CL23" s="316">
        <f>CL14</f>
        <v>33.55566</v>
      </c>
      <c r="CM23" s="321" t="s">
        <v>3</v>
      </c>
      <c r="CN23" s="298"/>
      <c r="CO23" s="443" t="s">
        <v>312</v>
      </c>
      <c r="CP23" s="444"/>
      <c r="CQ23" s="444"/>
      <c r="CR23" s="445"/>
      <c r="CS23" s="316">
        <f>CS15</f>
        <v>48.056850000000004</v>
      </c>
      <c r="CT23" s="321" t="s">
        <v>3</v>
      </c>
      <c r="CU23" s="298"/>
      <c r="CV23" s="443" t="s">
        <v>312</v>
      </c>
      <c r="CW23" s="444"/>
      <c r="CX23" s="444"/>
      <c r="CY23" s="445"/>
      <c r="CZ23" s="316">
        <f>CZ13</f>
        <v>54.54583</v>
      </c>
      <c r="DA23" s="321" t="s">
        <v>3</v>
      </c>
      <c r="DB23" s="298"/>
      <c r="DC23" s="443" t="s">
        <v>312</v>
      </c>
      <c r="DD23" s="444"/>
      <c r="DE23" s="444"/>
      <c r="DF23" s="445"/>
      <c r="DG23" s="316">
        <f>DG13</f>
        <v>45.18301</v>
      </c>
      <c r="DH23" s="321" t="s">
        <v>3</v>
      </c>
      <c r="DI23" s="298"/>
      <c r="DJ23" s="443" t="s">
        <v>312</v>
      </c>
      <c r="DK23" s="444"/>
      <c r="DL23" s="444"/>
      <c r="DM23" s="445"/>
      <c r="DN23" s="316">
        <f>DN13</f>
        <v>44.28836</v>
      </c>
      <c r="DO23" s="321" t="s">
        <v>3</v>
      </c>
      <c r="DP23" s="298"/>
      <c r="DQ23" s="443" t="s">
        <v>312</v>
      </c>
      <c r="DR23" s="444"/>
      <c r="DS23" s="444"/>
      <c r="DT23" s="445"/>
      <c r="DU23" s="316">
        <f>DU13</f>
        <v>39.458780000000004</v>
      </c>
      <c r="DV23" s="321" t="s">
        <v>3</v>
      </c>
      <c r="DX23" s="443" t="s">
        <v>312</v>
      </c>
      <c r="DY23" s="444"/>
      <c r="DZ23" s="444"/>
      <c r="EA23" s="445"/>
      <c r="EB23" s="316">
        <f>EB16</f>
        <v>61.936910000000005</v>
      </c>
      <c r="EC23" s="321" t="s">
        <v>3</v>
      </c>
      <c r="ED23" s="298"/>
      <c r="EE23" s="443" t="s">
        <v>312</v>
      </c>
      <c r="EF23" s="444"/>
      <c r="EG23" s="444"/>
      <c r="EH23" s="445"/>
      <c r="EI23" s="316">
        <f>EI13</f>
        <v>25.293029999999998</v>
      </c>
      <c r="EJ23" s="321" t="s">
        <v>3</v>
      </c>
      <c r="EK23" s="298"/>
      <c r="EL23" s="443" t="s">
        <v>312</v>
      </c>
      <c r="EM23" s="444"/>
      <c r="EN23" s="444"/>
      <c r="EO23" s="445"/>
      <c r="EP23" s="316">
        <f>EP12</f>
        <v>21.941059999999997</v>
      </c>
      <c r="EQ23" s="321" t="s">
        <v>3</v>
      </c>
      <c r="ER23" s="298"/>
      <c r="ES23" s="443" t="s">
        <v>312</v>
      </c>
      <c r="ET23" s="444"/>
      <c r="EU23" s="444"/>
      <c r="EV23" s="445"/>
      <c r="EW23" s="316">
        <f>EW13</f>
        <v>32.89824</v>
      </c>
      <c r="EX23" s="321" t="s">
        <v>3</v>
      </c>
      <c r="EY23" s="298"/>
      <c r="EZ23" s="443" t="s">
        <v>371</v>
      </c>
      <c r="FA23" s="444"/>
      <c r="FB23" s="444"/>
      <c r="FC23" s="445"/>
      <c r="FD23" s="316">
        <v>5.5</v>
      </c>
      <c r="FE23" s="321" t="s">
        <v>3</v>
      </c>
      <c r="FF23" s="298"/>
      <c r="FG23" s="443" t="s">
        <v>312</v>
      </c>
      <c r="FH23" s="444"/>
      <c r="FI23" s="444"/>
      <c r="FJ23" s="445"/>
      <c r="FK23" s="316">
        <f>FK13</f>
        <v>43.20063</v>
      </c>
      <c r="FL23" s="321" t="s">
        <v>3</v>
      </c>
      <c r="FM23" s="298"/>
      <c r="FN23" s="443" t="s">
        <v>312</v>
      </c>
      <c r="FO23" s="444"/>
      <c r="FP23" s="444"/>
      <c r="FQ23" s="445"/>
      <c r="FR23" s="316">
        <f>FR13</f>
        <v>42.77301</v>
      </c>
      <c r="FS23" s="321" t="s">
        <v>3</v>
      </c>
      <c r="FT23" s="342"/>
      <c r="FU23" s="443" t="s">
        <v>312</v>
      </c>
      <c r="FV23" s="444"/>
      <c r="FW23" s="444"/>
      <c r="FX23" s="445"/>
      <c r="FY23" s="316">
        <f>FY15</f>
        <v>51.70036999999999</v>
      </c>
      <c r="FZ23" s="321" t="s">
        <v>3</v>
      </c>
      <c r="GA23" s="298"/>
      <c r="GB23" s="443" t="s">
        <v>312</v>
      </c>
      <c r="GC23" s="444"/>
      <c r="GD23" s="444"/>
      <c r="GE23" s="445"/>
      <c r="GF23" s="316">
        <f>GF13</f>
        <v>38.848949999999995</v>
      </c>
      <c r="GG23" s="321" t="s">
        <v>3</v>
      </c>
    </row>
    <row r="24" spans="2:189" ht="15.75" thickBot="1">
      <c r="B24" s="443" t="s">
        <v>362</v>
      </c>
      <c r="C24" s="444"/>
      <c r="D24" s="444"/>
      <c r="E24" s="445"/>
      <c r="F24" s="304">
        <v>4.8</v>
      </c>
      <c r="G24" s="321" t="s">
        <v>3</v>
      </c>
      <c r="H24" s="298"/>
      <c r="I24" s="443" t="s">
        <v>362</v>
      </c>
      <c r="J24" s="444"/>
      <c r="K24" s="444"/>
      <c r="L24" s="445"/>
      <c r="M24" s="304">
        <v>0</v>
      </c>
      <c r="N24" s="321" t="s">
        <v>3</v>
      </c>
      <c r="O24" s="298"/>
      <c r="P24" s="446" t="s">
        <v>281</v>
      </c>
      <c r="Q24" s="447"/>
      <c r="R24" s="447"/>
      <c r="S24" s="448"/>
      <c r="T24" s="317">
        <f>SUM(T22:T23)</f>
        <v>44.58205999999999</v>
      </c>
      <c r="U24" s="333" t="s">
        <v>3</v>
      </c>
      <c r="V24" s="298"/>
      <c r="W24" s="443" t="s">
        <v>362</v>
      </c>
      <c r="X24" s="444"/>
      <c r="Y24" s="444"/>
      <c r="Z24" s="445"/>
      <c r="AA24" s="304">
        <v>0</v>
      </c>
      <c r="AB24" s="321" t="s">
        <v>3</v>
      </c>
      <c r="AC24" s="298"/>
      <c r="AD24" s="443" t="s">
        <v>362</v>
      </c>
      <c r="AE24" s="444"/>
      <c r="AF24" s="444"/>
      <c r="AG24" s="445"/>
      <c r="AH24" s="304">
        <v>0</v>
      </c>
      <c r="AI24" s="321" t="s">
        <v>3</v>
      </c>
      <c r="AJ24" s="298"/>
      <c r="AK24" s="443" t="s">
        <v>362</v>
      </c>
      <c r="AL24" s="444"/>
      <c r="AM24" s="444"/>
      <c r="AN24" s="445"/>
      <c r="AO24" s="304">
        <v>0</v>
      </c>
      <c r="AP24" s="321" t="s">
        <v>3</v>
      </c>
      <c r="AQ24" s="298"/>
      <c r="AR24" s="443" t="s">
        <v>443</v>
      </c>
      <c r="AS24" s="444"/>
      <c r="AT24" s="444"/>
      <c r="AU24" s="445"/>
      <c r="AV24" s="316">
        <v>-8</v>
      </c>
      <c r="AW24" s="321" t="s">
        <v>3</v>
      </c>
      <c r="AX24" s="298"/>
      <c r="AY24" s="468"/>
      <c r="AZ24" s="469"/>
      <c r="BA24" s="469"/>
      <c r="BB24" s="469"/>
      <c r="BC24" s="469"/>
      <c r="BD24" s="470"/>
      <c r="BE24" s="298"/>
      <c r="BF24" s="443" t="s">
        <v>362</v>
      </c>
      <c r="BG24" s="444"/>
      <c r="BH24" s="444"/>
      <c r="BI24" s="445"/>
      <c r="BJ24" s="304">
        <v>0</v>
      </c>
      <c r="BK24" s="321" t="s">
        <v>3</v>
      </c>
      <c r="BM24" s="443" t="s">
        <v>312</v>
      </c>
      <c r="BN24" s="444"/>
      <c r="BO24" s="444"/>
      <c r="BP24" s="445"/>
      <c r="BQ24" s="316">
        <f>BQ13</f>
        <v>26.285340000000005</v>
      </c>
      <c r="BR24" s="321" t="s">
        <v>3</v>
      </c>
      <c r="BS24" s="298"/>
      <c r="BT24" s="443" t="s">
        <v>362</v>
      </c>
      <c r="BU24" s="444"/>
      <c r="BV24" s="444"/>
      <c r="BW24" s="445"/>
      <c r="BX24" s="304">
        <v>0</v>
      </c>
      <c r="BY24" s="321" t="s">
        <v>3</v>
      </c>
      <c r="BZ24" s="298"/>
      <c r="CA24" s="443" t="s">
        <v>312</v>
      </c>
      <c r="CB24" s="444"/>
      <c r="CC24" s="444"/>
      <c r="CD24" s="445"/>
      <c r="CE24" s="316">
        <f>CE12</f>
        <v>30.882830000000002</v>
      </c>
      <c r="CF24" s="321" t="s">
        <v>3</v>
      </c>
      <c r="CG24" s="298"/>
      <c r="CH24" s="443" t="s">
        <v>362</v>
      </c>
      <c r="CI24" s="444"/>
      <c r="CJ24" s="444"/>
      <c r="CK24" s="445"/>
      <c r="CL24" s="304">
        <v>4.8</v>
      </c>
      <c r="CM24" s="321" t="s">
        <v>3</v>
      </c>
      <c r="CN24" s="298"/>
      <c r="CO24" s="443" t="s">
        <v>362</v>
      </c>
      <c r="CP24" s="444"/>
      <c r="CQ24" s="444"/>
      <c r="CR24" s="445"/>
      <c r="CS24" s="304">
        <v>4.8</v>
      </c>
      <c r="CT24" s="321" t="s">
        <v>3</v>
      </c>
      <c r="CU24" s="298"/>
      <c r="CV24" s="443" t="s">
        <v>362</v>
      </c>
      <c r="CW24" s="444"/>
      <c r="CX24" s="444"/>
      <c r="CY24" s="445"/>
      <c r="CZ24" s="304">
        <v>0</v>
      </c>
      <c r="DA24" s="321" t="s">
        <v>3</v>
      </c>
      <c r="DB24" s="298"/>
      <c r="DC24" s="443" t="s">
        <v>362</v>
      </c>
      <c r="DD24" s="444"/>
      <c r="DE24" s="444"/>
      <c r="DF24" s="445"/>
      <c r="DG24" s="304">
        <v>4.8</v>
      </c>
      <c r="DH24" s="321" t="s">
        <v>3</v>
      </c>
      <c r="DI24" s="298"/>
      <c r="DJ24" s="443" t="s">
        <v>362</v>
      </c>
      <c r="DK24" s="444"/>
      <c r="DL24" s="444"/>
      <c r="DM24" s="445"/>
      <c r="DN24" s="304">
        <v>4.8</v>
      </c>
      <c r="DO24" s="321" t="s">
        <v>3</v>
      </c>
      <c r="DP24" s="298"/>
      <c r="DQ24" s="443" t="s">
        <v>362</v>
      </c>
      <c r="DR24" s="444"/>
      <c r="DS24" s="444"/>
      <c r="DT24" s="445"/>
      <c r="DU24" s="304">
        <v>4.8</v>
      </c>
      <c r="DV24" s="321" t="s">
        <v>3</v>
      </c>
      <c r="DX24" s="443" t="s">
        <v>362</v>
      </c>
      <c r="DY24" s="444"/>
      <c r="DZ24" s="444"/>
      <c r="EA24" s="445"/>
      <c r="EB24" s="304">
        <v>0</v>
      </c>
      <c r="EC24" s="321" t="s">
        <v>3</v>
      </c>
      <c r="ED24" s="298"/>
      <c r="EE24" s="443" t="s">
        <v>362</v>
      </c>
      <c r="EF24" s="444"/>
      <c r="EG24" s="444"/>
      <c r="EH24" s="445"/>
      <c r="EI24" s="304">
        <v>0</v>
      </c>
      <c r="EJ24" s="321" t="s">
        <v>3</v>
      </c>
      <c r="EK24" s="298"/>
      <c r="EL24" s="443" t="s">
        <v>362</v>
      </c>
      <c r="EM24" s="444"/>
      <c r="EN24" s="444"/>
      <c r="EO24" s="445"/>
      <c r="EP24" s="304">
        <v>0</v>
      </c>
      <c r="EQ24" s="321" t="s">
        <v>3</v>
      </c>
      <c r="ER24" s="298"/>
      <c r="ES24" s="443" t="s">
        <v>362</v>
      </c>
      <c r="ET24" s="444"/>
      <c r="EU24" s="444"/>
      <c r="EV24" s="445"/>
      <c r="EW24" s="304">
        <v>0</v>
      </c>
      <c r="EX24" s="321" t="s">
        <v>3</v>
      </c>
      <c r="EY24" s="298"/>
      <c r="EZ24" s="443" t="s">
        <v>312</v>
      </c>
      <c r="FA24" s="444"/>
      <c r="FB24" s="444"/>
      <c r="FC24" s="445"/>
      <c r="FD24" s="316">
        <f>FD14</f>
        <v>52.620110000000004</v>
      </c>
      <c r="FE24" s="321" t="s">
        <v>3</v>
      </c>
      <c r="FF24" s="298"/>
      <c r="FG24" s="443" t="s">
        <v>362</v>
      </c>
      <c r="FH24" s="444"/>
      <c r="FI24" s="444"/>
      <c r="FJ24" s="445"/>
      <c r="FK24" s="304">
        <v>0</v>
      </c>
      <c r="FL24" s="321" t="s">
        <v>3</v>
      </c>
      <c r="FM24" s="298"/>
      <c r="FN24" s="443" t="s">
        <v>362</v>
      </c>
      <c r="FO24" s="444"/>
      <c r="FP24" s="444"/>
      <c r="FQ24" s="445"/>
      <c r="FR24" s="304">
        <v>0</v>
      </c>
      <c r="FS24" s="321" t="s">
        <v>3</v>
      </c>
      <c r="FT24" s="342"/>
      <c r="FU24" s="443" t="s">
        <v>362</v>
      </c>
      <c r="FV24" s="444"/>
      <c r="FW24" s="444"/>
      <c r="FX24" s="445"/>
      <c r="FY24" s="304">
        <v>4.8</v>
      </c>
      <c r="FZ24" s="321" t="s">
        <v>3</v>
      </c>
      <c r="GA24" s="298"/>
      <c r="GB24" s="443" t="s">
        <v>362</v>
      </c>
      <c r="GC24" s="444"/>
      <c r="GD24" s="444"/>
      <c r="GE24" s="445"/>
      <c r="GF24" s="304">
        <v>4.8</v>
      </c>
      <c r="GG24" s="321" t="s">
        <v>3</v>
      </c>
    </row>
    <row r="25" spans="2:189" ht="15.75" thickBot="1">
      <c r="B25" s="446" t="s">
        <v>281</v>
      </c>
      <c r="C25" s="447"/>
      <c r="D25" s="447"/>
      <c r="E25" s="448"/>
      <c r="F25" s="317">
        <f>SUM(F23:F24)</f>
        <v>43.64894999999999</v>
      </c>
      <c r="G25" s="333" t="s">
        <v>3</v>
      </c>
      <c r="H25" s="298"/>
      <c r="I25" s="446" t="s">
        <v>281</v>
      </c>
      <c r="J25" s="447"/>
      <c r="K25" s="447"/>
      <c r="L25" s="448"/>
      <c r="M25" s="317">
        <f>SUM(M23:M24)</f>
        <v>18.250439999999998</v>
      </c>
      <c r="N25" s="333" t="s">
        <v>3</v>
      </c>
      <c r="O25" s="298"/>
      <c r="P25" s="468"/>
      <c r="Q25" s="469"/>
      <c r="R25" s="469"/>
      <c r="S25" s="469"/>
      <c r="T25" s="469"/>
      <c r="U25" s="470"/>
      <c r="V25" s="298"/>
      <c r="W25" s="446" t="s">
        <v>281</v>
      </c>
      <c r="X25" s="447"/>
      <c r="Y25" s="447"/>
      <c r="Z25" s="448"/>
      <c r="AA25" s="317">
        <f>SUM(AA23:AA24)</f>
        <v>35.18339</v>
      </c>
      <c r="AB25" s="333" t="s">
        <v>3</v>
      </c>
      <c r="AC25" s="298"/>
      <c r="AD25" s="446" t="s">
        <v>281</v>
      </c>
      <c r="AE25" s="447"/>
      <c r="AF25" s="447"/>
      <c r="AG25" s="448"/>
      <c r="AH25" s="317">
        <f>SUM(AH23:AH24)</f>
        <v>30.69419</v>
      </c>
      <c r="AI25" s="333" t="s">
        <v>3</v>
      </c>
      <c r="AJ25" s="298"/>
      <c r="AK25" s="446" t="s">
        <v>281</v>
      </c>
      <c r="AL25" s="447"/>
      <c r="AM25" s="447"/>
      <c r="AN25" s="448"/>
      <c r="AO25" s="317">
        <f>SUM(AO23:AO24)</f>
        <v>26.229479999999995</v>
      </c>
      <c r="AP25" s="333" t="s">
        <v>3</v>
      </c>
      <c r="AQ25" s="298"/>
      <c r="AR25" s="443" t="s">
        <v>362</v>
      </c>
      <c r="AS25" s="444"/>
      <c r="AT25" s="444"/>
      <c r="AU25" s="445"/>
      <c r="AV25" s="304">
        <v>4.8</v>
      </c>
      <c r="AW25" s="321" t="s">
        <v>3</v>
      </c>
      <c r="AX25" s="298"/>
      <c r="AY25" s="471" t="s">
        <v>313</v>
      </c>
      <c r="AZ25" s="472"/>
      <c r="BA25" s="472"/>
      <c r="BB25" s="472"/>
      <c r="BC25" s="472"/>
      <c r="BD25" s="473"/>
      <c r="BE25" s="298"/>
      <c r="BF25" s="446" t="s">
        <v>281</v>
      </c>
      <c r="BG25" s="447"/>
      <c r="BH25" s="447"/>
      <c r="BI25" s="448"/>
      <c r="BJ25" s="317">
        <f>SUM(BJ23:BJ24)</f>
        <v>61.936910000000005</v>
      </c>
      <c r="BK25" s="333" t="s">
        <v>3</v>
      </c>
      <c r="BM25" s="446" t="s">
        <v>281</v>
      </c>
      <c r="BN25" s="447"/>
      <c r="BO25" s="447"/>
      <c r="BP25" s="448"/>
      <c r="BQ25" s="317">
        <f>SUM(BQ23:BQ24)</f>
        <v>31.785340000000005</v>
      </c>
      <c r="BR25" s="333" t="s">
        <v>3</v>
      </c>
      <c r="BS25" s="298"/>
      <c r="BT25" s="446" t="s">
        <v>281</v>
      </c>
      <c r="BU25" s="447"/>
      <c r="BV25" s="447"/>
      <c r="BW25" s="448"/>
      <c r="BX25" s="317">
        <f>SUM(BX23:BX24)</f>
        <v>31.02581</v>
      </c>
      <c r="BY25" s="333" t="s">
        <v>3</v>
      </c>
      <c r="BZ25" s="298"/>
      <c r="CA25" s="446" t="s">
        <v>281</v>
      </c>
      <c r="CB25" s="447"/>
      <c r="CC25" s="447"/>
      <c r="CD25" s="448"/>
      <c r="CE25" s="317">
        <f>SUM(CE23:CE24)</f>
        <v>36.38283</v>
      </c>
      <c r="CF25" s="333" t="s">
        <v>3</v>
      </c>
      <c r="CG25" s="298"/>
      <c r="CH25" s="446" t="s">
        <v>281</v>
      </c>
      <c r="CI25" s="447"/>
      <c r="CJ25" s="447"/>
      <c r="CK25" s="448"/>
      <c r="CL25" s="317">
        <f>SUM(CL23:CL24)</f>
        <v>38.35566</v>
      </c>
      <c r="CM25" s="333" t="s">
        <v>3</v>
      </c>
      <c r="CN25" s="298"/>
      <c r="CO25" s="446" t="s">
        <v>281</v>
      </c>
      <c r="CP25" s="447"/>
      <c r="CQ25" s="447"/>
      <c r="CR25" s="448"/>
      <c r="CS25" s="317">
        <f>SUM(CS23:CS24)</f>
        <v>52.85685</v>
      </c>
      <c r="CT25" s="333" t="s">
        <v>3</v>
      </c>
      <c r="CU25" s="298"/>
      <c r="CV25" s="497" t="s">
        <v>281</v>
      </c>
      <c r="CW25" s="498"/>
      <c r="CX25" s="498"/>
      <c r="CY25" s="499"/>
      <c r="CZ25" s="317">
        <f>SUM(CZ23:CZ24)</f>
        <v>54.54583</v>
      </c>
      <c r="DA25" s="333" t="s">
        <v>3</v>
      </c>
      <c r="DB25" s="298"/>
      <c r="DC25" s="446" t="s">
        <v>281</v>
      </c>
      <c r="DD25" s="447"/>
      <c r="DE25" s="447"/>
      <c r="DF25" s="448"/>
      <c r="DG25" s="317">
        <f>SUM(DG23:DG24)</f>
        <v>49.98301</v>
      </c>
      <c r="DH25" s="333" t="s">
        <v>3</v>
      </c>
      <c r="DI25" s="298"/>
      <c r="DJ25" s="446" t="s">
        <v>281</v>
      </c>
      <c r="DK25" s="447"/>
      <c r="DL25" s="447"/>
      <c r="DM25" s="448"/>
      <c r="DN25" s="317">
        <f>SUM(DN23:DN24)</f>
        <v>49.088359999999994</v>
      </c>
      <c r="DO25" s="333" t="s">
        <v>3</v>
      </c>
      <c r="DP25" s="298"/>
      <c r="DQ25" s="446" t="s">
        <v>281</v>
      </c>
      <c r="DR25" s="447"/>
      <c r="DS25" s="447"/>
      <c r="DT25" s="448"/>
      <c r="DU25" s="317">
        <f>SUM(DU23:DU24)</f>
        <v>44.25878</v>
      </c>
      <c r="DV25" s="333" t="s">
        <v>3</v>
      </c>
      <c r="DX25" s="446" t="s">
        <v>281</v>
      </c>
      <c r="DY25" s="447"/>
      <c r="DZ25" s="447"/>
      <c r="EA25" s="448"/>
      <c r="EB25" s="317">
        <f>SUM(EB23:EB24)</f>
        <v>61.936910000000005</v>
      </c>
      <c r="EC25" s="333" t="s">
        <v>3</v>
      </c>
      <c r="ED25" s="298"/>
      <c r="EE25" s="446" t="s">
        <v>281</v>
      </c>
      <c r="EF25" s="447"/>
      <c r="EG25" s="447"/>
      <c r="EH25" s="448"/>
      <c r="EI25" s="317">
        <f>SUM(EI23:EI24)</f>
        <v>25.293029999999998</v>
      </c>
      <c r="EJ25" s="333" t="s">
        <v>3</v>
      </c>
      <c r="EK25" s="298"/>
      <c r="EL25" s="446" t="s">
        <v>281</v>
      </c>
      <c r="EM25" s="447"/>
      <c r="EN25" s="447"/>
      <c r="EO25" s="448"/>
      <c r="EP25" s="317">
        <f>SUM(EP23:EP24)</f>
        <v>21.941059999999997</v>
      </c>
      <c r="EQ25" s="333" t="s">
        <v>3</v>
      </c>
      <c r="ER25" s="298"/>
      <c r="ES25" s="446" t="s">
        <v>281</v>
      </c>
      <c r="ET25" s="447"/>
      <c r="EU25" s="447"/>
      <c r="EV25" s="448"/>
      <c r="EW25" s="317">
        <f>SUM(EW23:EW24)</f>
        <v>32.89824</v>
      </c>
      <c r="EX25" s="333" t="s">
        <v>3</v>
      </c>
      <c r="EY25" s="298"/>
      <c r="EZ25" s="446" t="s">
        <v>281</v>
      </c>
      <c r="FA25" s="447"/>
      <c r="FB25" s="447"/>
      <c r="FC25" s="448"/>
      <c r="FD25" s="317">
        <f>SUM(FD23:FD24)</f>
        <v>58.120110000000004</v>
      </c>
      <c r="FE25" s="333" t="s">
        <v>3</v>
      </c>
      <c r="FF25" s="298"/>
      <c r="FG25" s="446" t="s">
        <v>281</v>
      </c>
      <c r="FH25" s="447"/>
      <c r="FI25" s="447"/>
      <c r="FJ25" s="448"/>
      <c r="FK25" s="317">
        <f>SUM(FK23:FK24)</f>
        <v>43.20063</v>
      </c>
      <c r="FL25" s="333" t="s">
        <v>3</v>
      </c>
      <c r="FM25" s="298"/>
      <c r="FN25" s="446" t="s">
        <v>281</v>
      </c>
      <c r="FO25" s="447"/>
      <c r="FP25" s="447"/>
      <c r="FQ25" s="448"/>
      <c r="FR25" s="317">
        <f>SUM(FR23:FR24)</f>
        <v>42.77301</v>
      </c>
      <c r="FS25" s="333" t="s">
        <v>3</v>
      </c>
      <c r="FT25" s="342"/>
      <c r="FU25" s="446" t="s">
        <v>281</v>
      </c>
      <c r="FV25" s="447"/>
      <c r="FW25" s="447"/>
      <c r="FX25" s="448"/>
      <c r="FY25" s="317">
        <f>SUM(FY23:FY24)</f>
        <v>56.50036999999999</v>
      </c>
      <c r="FZ25" s="333" t="s">
        <v>3</v>
      </c>
      <c r="GA25" s="298"/>
      <c r="GB25" s="446" t="s">
        <v>281</v>
      </c>
      <c r="GC25" s="447"/>
      <c r="GD25" s="447"/>
      <c r="GE25" s="448"/>
      <c r="GF25" s="317">
        <f>SUM(GF23:GF24)</f>
        <v>43.64894999999999</v>
      </c>
      <c r="GG25" s="333" t="s">
        <v>3</v>
      </c>
    </row>
    <row r="26" spans="2:189" ht="15.75" thickBot="1">
      <c r="B26" s="468"/>
      <c r="C26" s="469"/>
      <c r="D26" s="469"/>
      <c r="E26" s="469"/>
      <c r="F26" s="469"/>
      <c r="G26" s="470"/>
      <c r="H26" s="298"/>
      <c r="I26" s="468"/>
      <c r="J26" s="469"/>
      <c r="K26" s="469"/>
      <c r="L26" s="469"/>
      <c r="M26" s="469"/>
      <c r="N26" s="470"/>
      <c r="O26" s="298"/>
      <c r="P26" s="471" t="s">
        <v>313</v>
      </c>
      <c r="Q26" s="472"/>
      <c r="R26" s="472"/>
      <c r="S26" s="472"/>
      <c r="T26" s="472"/>
      <c r="U26" s="473"/>
      <c r="V26" s="298"/>
      <c r="W26" s="468"/>
      <c r="X26" s="469"/>
      <c r="Y26" s="469"/>
      <c r="Z26" s="469"/>
      <c r="AA26" s="469"/>
      <c r="AB26" s="470"/>
      <c r="AC26" s="298"/>
      <c r="AD26" s="468"/>
      <c r="AE26" s="469"/>
      <c r="AF26" s="469"/>
      <c r="AG26" s="469"/>
      <c r="AH26" s="469"/>
      <c r="AI26" s="470"/>
      <c r="AJ26" s="298"/>
      <c r="AK26" s="468"/>
      <c r="AL26" s="469"/>
      <c r="AM26" s="469"/>
      <c r="AN26" s="469"/>
      <c r="AO26" s="469"/>
      <c r="AP26" s="470"/>
      <c r="AQ26" s="298"/>
      <c r="AR26" s="446" t="s">
        <v>281</v>
      </c>
      <c r="AS26" s="447"/>
      <c r="AT26" s="447"/>
      <c r="AU26" s="448"/>
      <c r="AV26" s="317">
        <f>SUM(AV23:AV25)</f>
        <v>28.714490000000005</v>
      </c>
      <c r="AW26" s="333" t="s">
        <v>3</v>
      </c>
      <c r="AX26" s="298"/>
      <c r="AY26" s="443" t="s">
        <v>363</v>
      </c>
      <c r="AZ26" s="444"/>
      <c r="BA26" s="444"/>
      <c r="BB26" s="445"/>
      <c r="BC26" s="304">
        <v>4.8</v>
      </c>
      <c r="BD26" s="321" t="s">
        <v>3</v>
      </c>
      <c r="BE26" s="298"/>
      <c r="BF26" s="468"/>
      <c r="BG26" s="469"/>
      <c r="BH26" s="469"/>
      <c r="BI26" s="469"/>
      <c r="BJ26" s="469"/>
      <c r="BK26" s="470"/>
      <c r="BM26" s="325"/>
      <c r="BN26" s="326"/>
      <c r="BO26" s="326"/>
      <c r="BP26" s="326"/>
      <c r="BQ26" s="352"/>
      <c r="BR26" s="353"/>
      <c r="BS26" s="298"/>
      <c r="BT26" s="325"/>
      <c r="BU26" s="326"/>
      <c r="BV26" s="326"/>
      <c r="BW26" s="326"/>
      <c r="BX26" s="352"/>
      <c r="BY26" s="353"/>
      <c r="BZ26" s="298"/>
      <c r="CA26" s="325"/>
      <c r="CB26" s="326"/>
      <c r="CC26" s="326"/>
      <c r="CD26" s="326"/>
      <c r="CE26" s="352"/>
      <c r="CF26" s="353"/>
      <c r="CG26" s="298"/>
      <c r="CH26" s="325"/>
      <c r="CI26" s="326"/>
      <c r="CJ26" s="326"/>
      <c r="CK26" s="326"/>
      <c r="CL26" s="352"/>
      <c r="CM26" s="353"/>
      <c r="CN26" s="298"/>
      <c r="CO26" s="325"/>
      <c r="CP26" s="326"/>
      <c r="CQ26" s="326"/>
      <c r="CR26" s="326"/>
      <c r="CS26" s="352"/>
      <c r="CT26" s="353"/>
      <c r="CU26" s="298"/>
      <c r="CV26" s="468"/>
      <c r="CW26" s="469"/>
      <c r="CX26" s="469"/>
      <c r="CY26" s="469"/>
      <c r="CZ26" s="469"/>
      <c r="DA26" s="470"/>
      <c r="DB26" s="298"/>
      <c r="DC26" s="325"/>
      <c r="DD26" s="326"/>
      <c r="DE26" s="326"/>
      <c r="DF26" s="326"/>
      <c r="DG26" s="352"/>
      <c r="DH26" s="353"/>
      <c r="DI26" s="298"/>
      <c r="DJ26" s="325"/>
      <c r="DK26" s="326"/>
      <c r="DL26" s="326"/>
      <c r="DM26" s="326"/>
      <c r="DN26" s="352"/>
      <c r="DO26" s="353"/>
      <c r="DP26" s="298"/>
      <c r="DQ26" s="325"/>
      <c r="DR26" s="326"/>
      <c r="DS26" s="326"/>
      <c r="DT26" s="326"/>
      <c r="DU26" s="352"/>
      <c r="DV26" s="353"/>
      <c r="DX26" s="468"/>
      <c r="DY26" s="469"/>
      <c r="DZ26" s="469"/>
      <c r="EA26" s="469"/>
      <c r="EB26" s="469"/>
      <c r="EC26" s="470"/>
      <c r="ED26" s="298"/>
      <c r="EE26" s="325"/>
      <c r="EF26" s="326"/>
      <c r="EG26" s="326"/>
      <c r="EH26" s="326"/>
      <c r="EI26" s="352"/>
      <c r="EJ26" s="353"/>
      <c r="EK26" s="298"/>
      <c r="EL26" s="325"/>
      <c r="EM26" s="326"/>
      <c r="EN26" s="326"/>
      <c r="EO26" s="326"/>
      <c r="EP26" s="352"/>
      <c r="EQ26" s="353"/>
      <c r="ER26" s="298"/>
      <c r="ES26" s="468"/>
      <c r="ET26" s="469"/>
      <c r="EU26" s="469"/>
      <c r="EV26" s="469"/>
      <c r="EW26" s="469"/>
      <c r="EX26" s="470"/>
      <c r="EY26" s="298"/>
      <c r="EZ26" s="468"/>
      <c r="FA26" s="469"/>
      <c r="FB26" s="469"/>
      <c r="FC26" s="469"/>
      <c r="FD26" s="469"/>
      <c r="FE26" s="470"/>
      <c r="FF26" s="298"/>
      <c r="FG26" s="468"/>
      <c r="FH26" s="469"/>
      <c r="FI26" s="469"/>
      <c r="FJ26" s="469"/>
      <c r="FK26" s="469"/>
      <c r="FL26" s="470"/>
      <c r="FM26" s="298"/>
      <c r="FN26" s="468"/>
      <c r="FO26" s="469"/>
      <c r="FP26" s="469"/>
      <c r="FQ26" s="469"/>
      <c r="FR26" s="469"/>
      <c r="FS26" s="470"/>
      <c r="FT26" s="342"/>
      <c r="FU26" s="468"/>
      <c r="FV26" s="469"/>
      <c r="FW26" s="469"/>
      <c r="FX26" s="469"/>
      <c r="FY26" s="469"/>
      <c r="FZ26" s="470"/>
      <c r="GA26" s="298"/>
      <c r="GB26" s="468"/>
      <c r="GC26" s="469"/>
      <c r="GD26" s="469"/>
      <c r="GE26" s="469"/>
      <c r="GF26" s="469"/>
      <c r="GG26" s="470"/>
    </row>
    <row r="27" spans="2:189" ht="15.75" thickBot="1">
      <c r="B27" s="471" t="s">
        <v>313</v>
      </c>
      <c r="C27" s="472"/>
      <c r="D27" s="472"/>
      <c r="E27" s="472"/>
      <c r="F27" s="472"/>
      <c r="G27" s="473"/>
      <c r="H27" s="298"/>
      <c r="I27" s="471" t="s">
        <v>313</v>
      </c>
      <c r="J27" s="472"/>
      <c r="K27" s="472"/>
      <c r="L27" s="472"/>
      <c r="M27" s="472"/>
      <c r="N27" s="473"/>
      <c r="O27" s="298"/>
      <c r="P27" s="443" t="s">
        <v>363</v>
      </c>
      <c r="Q27" s="444"/>
      <c r="R27" s="444"/>
      <c r="S27" s="445"/>
      <c r="T27" s="304">
        <v>4.8</v>
      </c>
      <c r="U27" s="321" t="s">
        <v>3</v>
      </c>
      <c r="V27" s="298"/>
      <c r="W27" s="471" t="s">
        <v>313</v>
      </c>
      <c r="X27" s="472"/>
      <c r="Y27" s="472"/>
      <c r="Z27" s="472"/>
      <c r="AA27" s="472"/>
      <c r="AB27" s="473"/>
      <c r="AC27" s="298"/>
      <c r="AD27" s="471" t="s">
        <v>313</v>
      </c>
      <c r="AE27" s="472"/>
      <c r="AF27" s="472"/>
      <c r="AG27" s="472"/>
      <c r="AH27" s="472"/>
      <c r="AI27" s="473"/>
      <c r="AJ27" s="298"/>
      <c r="AK27" s="471" t="s">
        <v>313</v>
      </c>
      <c r="AL27" s="472"/>
      <c r="AM27" s="472"/>
      <c r="AN27" s="472"/>
      <c r="AO27" s="472"/>
      <c r="AP27" s="473"/>
      <c r="AQ27" s="298"/>
      <c r="AR27" s="468"/>
      <c r="AS27" s="469"/>
      <c r="AT27" s="469"/>
      <c r="AU27" s="469"/>
      <c r="AV27" s="469"/>
      <c r="AW27" s="470"/>
      <c r="AX27" s="298"/>
      <c r="AY27" s="443" t="s">
        <v>312</v>
      </c>
      <c r="AZ27" s="444"/>
      <c r="BA27" s="444"/>
      <c r="BB27" s="445"/>
      <c r="BC27" s="334">
        <f>BC13</f>
        <v>36.04086</v>
      </c>
      <c r="BD27" s="321" t="s">
        <v>3</v>
      </c>
      <c r="BE27" s="298"/>
      <c r="BF27" s="471" t="s">
        <v>313</v>
      </c>
      <c r="BG27" s="472"/>
      <c r="BH27" s="472"/>
      <c r="BI27" s="472"/>
      <c r="BJ27" s="472"/>
      <c r="BK27" s="473"/>
      <c r="BM27" s="471" t="s">
        <v>333</v>
      </c>
      <c r="BN27" s="472"/>
      <c r="BO27" s="472"/>
      <c r="BP27" s="472"/>
      <c r="BQ27" s="472"/>
      <c r="BR27" s="473"/>
      <c r="BS27" s="298"/>
      <c r="BT27" s="471" t="s">
        <v>333</v>
      </c>
      <c r="BU27" s="472"/>
      <c r="BV27" s="472"/>
      <c r="BW27" s="472"/>
      <c r="BX27" s="472"/>
      <c r="BY27" s="473"/>
      <c r="BZ27" s="298"/>
      <c r="CA27" s="471" t="s">
        <v>333</v>
      </c>
      <c r="CB27" s="472"/>
      <c r="CC27" s="472"/>
      <c r="CD27" s="472"/>
      <c r="CE27" s="472"/>
      <c r="CF27" s="473"/>
      <c r="CG27" s="298"/>
      <c r="CH27" s="471" t="s">
        <v>333</v>
      </c>
      <c r="CI27" s="472"/>
      <c r="CJ27" s="472"/>
      <c r="CK27" s="472"/>
      <c r="CL27" s="472"/>
      <c r="CM27" s="473"/>
      <c r="CN27" s="298"/>
      <c r="CO27" s="471" t="s">
        <v>333</v>
      </c>
      <c r="CP27" s="472"/>
      <c r="CQ27" s="472"/>
      <c r="CR27" s="472"/>
      <c r="CS27" s="472"/>
      <c r="CT27" s="473"/>
      <c r="CU27" s="298"/>
      <c r="CV27" s="471" t="s">
        <v>350</v>
      </c>
      <c r="CW27" s="472"/>
      <c r="CX27" s="472"/>
      <c r="CY27" s="472"/>
      <c r="CZ27" s="472"/>
      <c r="DA27" s="473"/>
      <c r="DB27" s="298"/>
      <c r="DC27" s="471" t="s">
        <v>333</v>
      </c>
      <c r="DD27" s="472"/>
      <c r="DE27" s="472"/>
      <c r="DF27" s="472"/>
      <c r="DG27" s="472"/>
      <c r="DH27" s="473"/>
      <c r="DI27" s="298"/>
      <c r="DJ27" s="471" t="s">
        <v>333</v>
      </c>
      <c r="DK27" s="472"/>
      <c r="DL27" s="472"/>
      <c r="DM27" s="472"/>
      <c r="DN27" s="472"/>
      <c r="DO27" s="473"/>
      <c r="DP27" s="298"/>
      <c r="DQ27" s="471" t="s">
        <v>365</v>
      </c>
      <c r="DR27" s="472"/>
      <c r="DS27" s="472"/>
      <c r="DT27" s="472"/>
      <c r="DU27" s="472"/>
      <c r="DV27" s="473"/>
      <c r="DX27" s="471" t="s">
        <v>365</v>
      </c>
      <c r="DY27" s="472"/>
      <c r="DZ27" s="472"/>
      <c r="EA27" s="472"/>
      <c r="EB27" s="472"/>
      <c r="EC27" s="473"/>
      <c r="ED27" s="298"/>
      <c r="EE27" s="471" t="s">
        <v>374</v>
      </c>
      <c r="EF27" s="472"/>
      <c r="EG27" s="472"/>
      <c r="EH27" s="472"/>
      <c r="EI27" s="472"/>
      <c r="EJ27" s="473"/>
      <c r="EK27" s="298"/>
      <c r="EL27" s="471" t="s">
        <v>374</v>
      </c>
      <c r="EM27" s="472"/>
      <c r="EN27" s="472"/>
      <c r="EO27" s="472"/>
      <c r="EP27" s="472"/>
      <c r="EQ27" s="473"/>
      <c r="ER27" s="298"/>
      <c r="ES27" s="471" t="s">
        <v>313</v>
      </c>
      <c r="ET27" s="472"/>
      <c r="EU27" s="472"/>
      <c r="EV27" s="472"/>
      <c r="EW27" s="472"/>
      <c r="EX27" s="473"/>
      <c r="EY27" s="298"/>
      <c r="EZ27" s="471" t="s">
        <v>313</v>
      </c>
      <c r="FA27" s="472"/>
      <c r="FB27" s="472"/>
      <c r="FC27" s="472"/>
      <c r="FD27" s="472"/>
      <c r="FE27" s="473"/>
      <c r="FF27" s="298"/>
      <c r="FG27" s="471" t="s">
        <v>313</v>
      </c>
      <c r="FH27" s="472"/>
      <c r="FI27" s="472"/>
      <c r="FJ27" s="472"/>
      <c r="FK27" s="472"/>
      <c r="FL27" s="473"/>
      <c r="FM27" s="298"/>
      <c r="FN27" s="471" t="s">
        <v>313</v>
      </c>
      <c r="FO27" s="472"/>
      <c r="FP27" s="472"/>
      <c r="FQ27" s="472"/>
      <c r="FR27" s="472"/>
      <c r="FS27" s="473"/>
      <c r="FT27" s="356"/>
      <c r="FU27" s="471" t="s">
        <v>375</v>
      </c>
      <c r="FV27" s="472"/>
      <c r="FW27" s="472"/>
      <c r="FX27" s="472"/>
      <c r="FY27" s="472"/>
      <c r="FZ27" s="473"/>
      <c r="GA27" s="298"/>
      <c r="GB27" s="471" t="s">
        <v>479</v>
      </c>
      <c r="GC27" s="472"/>
      <c r="GD27" s="472"/>
      <c r="GE27" s="472"/>
      <c r="GF27" s="472"/>
      <c r="GG27" s="473"/>
    </row>
    <row r="28" spans="2:189" ht="15.75" customHeight="1" thickBot="1">
      <c r="B28" s="443" t="s">
        <v>363</v>
      </c>
      <c r="C28" s="444"/>
      <c r="D28" s="444"/>
      <c r="E28" s="445"/>
      <c r="F28" s="304">
        <v>4.8</v>
      </c>
      <c r="G28" s="321" t="s">
        <v>3</v>
      </c>
      <c r="H28" s="298"/>
      <c r="I28" s="443" t="s">
        <v>363</v>
      </c>
      <c r="J28" s="444"/>
      <c r="K28" s="444"/>
      <c r="L28" s="445"/>
      <c r="M28" s="304">
        <v>0</v>
      </c>
      <c r="N28" s="321" t="s">
        <v>3</v>
      </c>
      <c r="O28" s="298"/>
      <c r="P28" s="443" t="s">
        <v>312</v>
      </c>
      <c r="Q28" s="444"/>
      <c r="R28" s="444"/>
      <c r="S28" s="445"/>
      <c r="T28" s="334">
        <f>T13</f>
        <v>39.782059999999994</v>
      </c>
      <c r="U28" s="321" t="s">
        <v>3</v>
      </c>
      <c r="V28" s="298"/>
      <c r="W28" s="443" t="s">
        <v>363</v>
      </c>
      <c r="X28" s="444"/>
      <c r="Y28" s="444"/>
      <c r="Z28" s="445"/>
      <c r="AA28" s="304">
        <v>0</v>
      </c>
      <c r="AB28" s="321" t="s">
        <v>3</v>
      </c>
      <c r="AC28" s="298"/>
      <c r="AD28" s="443" t="s">
        <v>363</v>
      </c>
      <c r="AE28" s="444"/>
      <c r="AF28" s="444"/>
      <c r="AG28" s="445"/>
      <c r="AH28" s="304">
        <v>0</v>
      </c>
      <c r="AI28" s="321" t="s">
        <v>3</v>
      </c>
      <c r="AJ28" s="298"/>
      <c r="AK28" s="443" t="s">
        <v>363</v>
      </c>
      <c r="AL28" s="444"/>
      <c r="AM28" s="444"/>
      <c r="AN28" s="445"/>
      <c r="AO28" s="304">
        <v>0</v>
      </c>
      <c r="AP28" s="321" t="s">
        <v>3</v>
      </c>
      <c r="AQ28" s="298"/>
      <c r="AR28" s="471" t="s">
        <v>313</v>
      </c>
      <c r="AS28" s="472"/>
      <c r="AT28" s="472"/>
      <c r="AU28" s="472"/>
      <c r="AV28" s="472"/>
      <c r="AW28" s="473"/>
      <c r="AX28" s="298"/>
      <c r="AY28" s="446" t="s">
        <v>281</v>
      </c>
      <c r="AZ28" s="447"/>
      <c r="BA28" s="447"/>
      <c r="BB28" s="448"/>
      <c r="BC28" s="335">
        <f>SUM(BC26:BC27)</f>
        <v>40.84086</v>
      </c>
      <c r="BD28" s="333" t="s">
        <v>3</v>
      </c>
      <c r="BE28" s="298"/>
      <c r="BF28" s="443" t="s">
        <v>363</v>
      </c>
      <c r="BG28" s="444"/>
      <c r="BH28" s="444"/>
      <c r="BI28" s="445"/>
      <c r="BJ28" s="304">
        <v>0</v>
      </c>
      <c r="BK28" s="321" t="s">
        <v>3</v>
      </c>
      <c r="BM28" s="443" t="s">
        <v>312</v>
      </c>
      <c r="BN28" s="444"/>
      <c r="BO28" s="444"/>
      <c r="BP28" s="445"/>
      <c r="BQ28" s="334">
        <f>BQ13</f>
        <v>26.285340000000005</v>
      </c>
      <c r="BR28" s="321" t="s">
        <v>3</v>
      </c>
      <c r="BS28" s="298"/>
      <c r="BT28" s="443" t="s">
        <v>363</v>
      </c>
      <c r="BU28" s="444"/>
      <c r="BV28" s="444"/>
      <c r="BW28" s="445"/>
      <c r="BX28" s="304">
        <v>0</v>
      </c>
      <c r="BY28" s="321" t="s">
        <v>3</v>
      </c>
      <c r="BZ28" s="298"/>
      <c r="CA28" s="443" t="s">
        <v>312</v>
      </c>
      <c r="CB28" s="444"/>
      <c r="CC28" s="444"/>
      <c r="CD28" s="445"/>
      <c r="CE28" s="334">
        <f>CE12</f>
        <v>30.882830000000002</v>
      </c>
      <c r="CF28" s="321" t="s">
        <v>3</v>
      </c>
      <c r="CG28" s="298"/>
      <c r="CH28" s="443" t="s">
        <v>363</v>
      </c>
      <c r="CI28" s="444"/>
      <c r="CJ28" s="444"/>
      <c r="CK28" s="445"/>
      <c r="CL28" s="304">
        <v>4.8</v>
      </c>
      <c r="CM28" s="321" t="s">
        <v>3</v>
      </c>
      <c r="CN28" s="298"/>
      <c r="CO28" s="443" t="s">
        <v>363</v>
      </c>
      <c r="CP28" s="444"/>
      <c r="CQ28" s="444"/>
      <c r="CR28" s="445"/>
      <c r="CS28" s="304">
        <v>4.8</v>
      </c>
      <c r="CT28" s="321" t="s">
        <v>3</v>
      </c>
      <c r="CU28" s="298"/>
      <c r="CV28" s="443" t="s">
        <v>363</v>
      </c>
      <c r="CW28" s="444"/>
      <c r="CX28" s="444"/>
      <c r="CY28" s="445"/>
      <c r="CZ28" s="304">
        <v>0</v>
      </c>
      <c r="DA28" s="321" t="s">
        <v>3</v>
      </c>
      <c r="DB28" s="298"/>
      <c r="DC28" s="443" t="s">
        <v>363</v>
      </c>
      <c r="DD28" s="444"/>
      <c r="DE28" s="444"/>
      <c r="DF28" s="445"/>
      <c r="DG28" s="304">
        <v>4.8</v>
      </c>
      <c r="DH28" s="321" t="s">
        <v>3</v>
      </c>
      <c r="DI28" s="298"/>
      <c r="DJ28" s="443" t="s">
        <v>363</v>
      </c>
      <c r="DK28" s="444"/>
      <c r="DL28" s="444"/>
      <c r="DM28" s="445"/>
      <c r="DN28" s="304">
        <v>4.8</v>
      </c>
      <c r="DO28" s="321" t="s">
        <v>3</v>
      </c>
      <c r="DP28" s="298"/>
      <c r="DQ28" s="443" t="s">
        <v>363</v>
      </c>
      <c r="DR28" s="444"/>
      <c r="DS28" s="444"/>
      <c r="DT28" s="445"/>
      <c r="DU28" s="304">
        <v>4.8</v>
      </c>
      <c r="DV28" s="321" t="s">
        <v>3</v>
      </c>
      <c r="DX28" s="443" t="s">
        <v>363</v>
      </c>
      <c r="DY28" s="444"/>
      <c r="DZ28" s="444"/>
      <c r="EA28" s="445"/>
      <c r="EB28" s="304">
        <v>0</v>
      </c>
      <c r="EC28" s="321" t="s">
        <v>3</v>
      </c>
      <c r="ED28" s="298"/>
      <c r="EE28" s="443" t="s">
        <v>363</v>
      </c>
      <c r="EF28" s="444"/>
      <c r="EG28" s="444"/>
      <c r="EH28" s="445"/>
      <c r="EI28" s="304">
        <v>0</v>
      </c>
      <c r="EJ28" s="321" t="s">
        <v>3</v>
      </c>
      <c r="EK28" s="298"/>
      <c r="EL28" s="443" t="s">
        <v>363</v>
      </c>
      <c r="EM28" s="444"/>
      <c r="EN28" s="444"/>
      <c r="EO28" s="445"/>
      <c r="EP28" s="304">
        <v>0</v>
      </c>
      <c r="EQ28" s="321" t="s">
        <v>3</v>
      </c>
      <c r="ER28" s="298"/>
      <c r="ES28" s="443" t="s">
        <v>363</v>
      </c>
      <c r="ET28" s="444"/>
      <c r="EU28" s="444"/>
      <c r="EV28" s="445"/>
      <c r="EW28" s="304">
        <v>0</v>
      </c>
      <c r="EX28" s="321" t="s">
        <v>3</v>
      </c>
      <c r="EY28" s="298"/>
      <c r="EZ28" s="443" t="s">
        <v>312</v>
      </c>
      <c r="FA28" s="444"/>
      <c r="FB28" s="444"/>
      <c r="FC28" s="445"/>
      <c r="FD28" s="334">
        <f>FD14</f>
        <v>52.620110000000004</v>
      </c>
      <c r="FE28" s="321" t="s">
        <v>3</v>
      </c>
      <c r="FF28" s="298"/>
      <c r="FG28" s="443" t="s">
        <v>363</v>
      </c>
      <c r="FH28" s="444"/>
      <c r="FI28" s="444"/>
      <c r="FJ28" s="445"/>
      <c r="FK28" s="304">
        <v>0</v>
      </c>
      <c r="FL28" s="321" t="s">
        <v>3</v>
      </c>
      <c r="FM28" s="298"/>
      <c r="FN28" s="443" t="s">
        <v>363</v>
      </c>
      <c r="FO28" s="444"/>
      <c r="FP28" s="444"/>
      <c r="FQ28" s="445"/>
      <c r="FR28" s="304">
        <v>0</v>
      </c>
      <c r="FS28" s="321" t="s">
        <v>3</v>
      </c>
      <c r="FT28" s="356"/>
      <c r="FU28" s="443" t="s">
        <v>363</v>
      </c>
      <c r="FV28" s="444"/>
      <c r="FW28" s="444"/>
      <c r="FX28" s="445"/>
      <c r="FY28" s="304">
        <v>4.8</v>
      </c>
      <c r="FZ28" s="321" t="s">
        <v>3</v>
      </c>
      <c r="GA28" s="298"/>
      <c r="GB28" s="443" t="s">
        <v>363</v>
      </c>
      <c r="GC28" s="444"/>
      <c r="GD28" s="444"/>
      <c r="GE28" s="445"/>
      <c r="GF28" s="304">
        <v>4.8</v>
      </c>
      <c r="GG28" s="321" t="s">
        <v>3</v>
      </c>
    </row>
    <row r="29" spans="2:189" ht="15.75" thickBot="1">
      <c r="B29" s="443" t="s">
        <v>312</v>
      </c>
      <c r="C29" s="444"/>
      <c r="D29" s="444"/>
      <c r="E29" s="445"/>
      <c r="F29" s="334">
        <f>F13</f>
        <v>38.848949999999995</v>
      </c>
      <c r="G29" s="321" t="s">
        <v>3</v>
      </c>
      <c r="H29" s="298"/>
      <c r="I29" s="443" t="s">
        <v>312</v>
      </c>
      <c r="J29" s="444"/>
      <c r="K29" s="444"/>
      <c r="L29" s="445"/>
      <c r="M29" s="334">
        <f>M11</f>
        <v>18.250439999999998</v>
      </c>
      <c r="N29" s="321" t="s">
        <v>3</v>
      </c>
      <c r="O29" s="298"/>
      <c r="P29" s="446" t="s">
        <v>281</v>
      </c>
      <c r="Q29" s="447"/>
      <c r="R29" s="447"/>
      <c r="S29" s="448"/>
      <c r="T29" s="335">
        <f>SUM(T27:T28)</f>
        <v>44.58205999999999</v>
      </c>
      <c r="U29" s="333" t="s">
        <v>3</v>
      </c>
      <c r="V29" s="298"/>
      <c r="W29" s="443" t="s">
        <v>312</v>
      </c>
      <c r="X29" s="444"/>
      <c r="Y29" s="444"/>
      <c r="Z29" s="445"/>
      <c r="AA29" s="334">
        <f>AA12</f>
        <v>35.18339</v>
      </c>
      <c r="AB29" s="321" t="s">
        <v>3</v>
      </c>
      <c r="AC29" s="298"/>
      <c r="AD29" s="443" t="s">
        <v>312</v>
      </c>
      <c r="AE29" s="444"/>
      <c r="AF29" s="444"/>
      <c r="AG29" s="445"/>
      <c r="AH29" s="334">
        <f>AH12</f>
        <v>30.69419</v>
      </c>
      <c r="AI29" s="321" t="s">
        <v>3</v>
      </c>
      <c r="AJ29" s="298"/>
      <c r="AK29" s="443" t="s">
        <v>312</v>
      </c>
      <c r="AL29" s="444"/>
      <c r="AM29" s="444"/>
      <c r="AN29" s="445"/>
      <c r="AO29" s="334">
        <f>AO11</f>
        <v>26.229479999999995</v>
      </c>
      <c r="AP29" s="321" t="s">
        <v>3</v>
      </c>
      <c r="AQ29" s="298"/>
      <c r="AR29" s="443" t="s">
        <v>363</v>
      </c>
      <c r="AS29" s="444"/>
      <c r="AT29" s="444"/>
      <c r="AU29" s="445"/>
      <c r="AV29" s="304">
        <v>4.8</v>
      </c>
      <c r="AW29" s="321" t="s">
        <v>3</v>
      </c>
      <c r="AX29" s="298"/>
      <c r="AY29" s="314"/>
      <c r="AZ29" s="314"/>
      <c r="BA29" s="314"/>
      <c r="BB29" s="314"/>
      <c r="BC29" s="345"/>
      <c r="BD29" s="315"/>
      <c r="BE29" s="298"/>
      <c r="BF29" s="443" t="s">
        <v>312</v>
      </c>
      <c r="BG29" s="444"/>
      <c r="BH29" s="444"/>
      <c r="BI29" s="445"/>
      <c r="BJ29" s="334">
        <f>BJ16</f>
        <v>61.936910000000005</v>
      </c>
      <c r="BK29" s="321" t="s">
        <v>3</v>
      </c>
      <c r="BM29" s="443" t="s">
        <v>372</v>
      </c>
      <c r="BN29" s="444"/>
      <c r="BO29" s="444"/>
      <c r="BP29" s="445"/>
      <c r="BQ29" s="334">
        <v>5.5</v>
      </c>
      <c r="BR29" s="321" t="s">
        <v>3</v>
      </c>
      <c r="BS29" s="298"/>
      <c r="BT29" s="443" t="s">
        <v>312</v>
      </c>
      <c r="BU29" s="444"/>
      <c r="BV29" s="444"/>
      <c r="BW29" s="445"/>
      <c r="BX29" s="334">
        <f>BX14</f>
        <v>31.02581</v>
      </c>
      <c r="BY29" s="321" t="s">
        <v>3</v>
      </c>
      <c r="BZ29" s="298"/>
      <c r="CA29" s="443" t="s">
        <v>372</v>
      </c>
      <c r="CB29" s="444"/>
      <c r="CC29" s="444"/>
      <c r="CD29" s="445"/>
      <c r="CE29" s="334">
        <v>5.5</v>
      </c>
      <c r="CF29" s="321" t="s">
        <v>3</v>
      </c>
      <c r="CG29" s="298"/>
      <c r="CH29" s="443" t="s">
        <v>312</v>
      </c>
      <c r="CI29" s="444"/>
      <c r="CJ29" s="444"/>
      <c r="CK29" s="445"/>
      <c r="CL29" s="334">
        <f>CL14</f>
        <v>33.55566</v>
      </c>
      <c r="CM29" s="321" t="s">
        <v>3</v>
      </c>
      <c r="CN29" s="298"/>
      <c r="CO29" s="443" t="s">
        <v>312</v>
      </c>
      <c r="CP29" s="444"/>
      <c r="CQ29" s="444"/>
      <c r="CR29" s="445"/>
      <c r="CS29" s="334">
        <f>CS15</f>
        <v>48.056850000000004</v>
      </c>
      <c r="CT29" s="321" t="s">
        <v>3</v>
      </c>
      <c r="CU29" s="298"/>
      <c r="CV29" s="443" t="s">
        <v>312</v>
      </c>
      <c r="CW29" s="444"/>
      <c r="CX29" s="444"/>
      <c r="CY29" s="445"/>
      <c r="CZ29" s="334">
        <f>CZ23</f>
        <v>54.54583</v>
      </c>
      <c r="DA29" s="321" t="s">
        <v>3</v>
      </c>
      <c r="DB29" s="298"/>
      <c r="DC29" s="443" t="s">
        <v>312</v>
      </c>
      <c r="DD29" s="444"/>
      <c r="DE29" s="444"/>
      <c r="DF29" s="445"/>
      <c r="DG29" s="334">
        <f>DG13</f>
        <v>45.18301</v>
      </c>
      <c r="DH29" s="321" t="s">
        <v>3</v>
      </c>
      <c r="DI29" s="298"/>
      <c r="DJ29" s="443" t="s">
        <v>312</v>
      </c>
      <c r="DK29" s="444"/>
      <c r="DL29" s="444"/>
      <c r="DM29" s="445"/>
      <c r="DN29" s="334">
        <f>DN13</f>
        <v>44.28836</v>
      </c>
      <c r="DO29" s="321" t="s">
        <v>3</v>
      </c>
      <c r="DP29" s="298"/>
      <c r="DQ29" s="443" t="s">
        <v>312</v>
      </c>
      <c r="DR29" s="444"/>
      <c r="DS29" s="444"/>
      <c r="DT29" s="445"/>
      <c r="DU29" s="334">
        <f>DU13</f>
        <v>39.458780000000004</v>
      </c>
      <c r="DV29" s="321" t="s">
        <v>3</v>
      </c>
      <c r="DX29" s="443" t="s">
        <v>312</v>
      </c>
      <c r="DY29" s="444"/>
      <c r="DZ29" s="444"/>
      <c r="EA29" s="445"/>
      <c r="EB29" s="334">
        <f>EB16</f>
        <v>61.936910000000005</v>
      </c>
      <c r="EC29" s="321" t="s">
        <v>3</v>
      </c>
      <c r="ED29" s="298"/>
      <c r="EE29" s="443" t="s">
        <v>312</v>
      </c>
      <c r="EF29" s="444"/>
      <c r="EG29" s="444"/>
      <c r="EH29" s="445"/>
      <c r="EI29" s="334">
        <f>EI13</f>
        <v>25.293029999999998</v>
      </c>
      <c r="EJ29" s="321" t="s">
        <v>3</v>
      </c>
      <c r="EK29" s="298"/>
      <c r="EL29" s="443" t="s">
        <v>312</v>
      </c>
      <c r="EM29" s="444"/>
      <c r="EN29" s="444"/>
      <c r="EO29" s="445"/>
      <c r="EP29" s="334">
        <f>EP12</f>
        <v>21.941059999999997</v>
      </c>
      <c r="EQ29" s="321" t="s">
        <v>3</v>
      </c>
      <c r="ER29" s="298"/>
      <c r="ES29" s="443" t="s">
        <v>312</v>
      </c>
      <c r="ET29" s="444"/>
      <c r="EU29" s="444"/>
      <c r="EV29" s="445"/>
      <c r="EW29" s="334">
        <f>EW13</f>
        <v>32.89824</v>
      </c>
      <c r="EX29" s="321" t="s">
        <v>3</v>
      </c>
      <c r="EY29" s="298"/>
      <c r="EZ29" s="443" t="s">
        <v>372</v>
      </c>
      <c r="FA29" s="444"/>
      <c r="FB29" s="444"/>
      <c r="FC29" s="445"/>
      <c r="FD29" s="334">
        <v>5.5</v>
      </c>
      <c r="FE29" s="321" t="s">
        <v>3</v>
      </c>
      <c r="FF29" s="298"/>
      <c r="FG29" s="443" t="s">
        <v>312</v>
      </c>
      <c r="FH29" s="444"/>
      <c r="FI29" s="444"/>
      <c r="FJ29" s="445"/>
      <c r="FK29" s="334">
        <f>FK13</f>
        <v>43.20063</v>
      </c>
      <c r="FL29" s="321" t="s">
        <v>3</v>
      </c>
      <c r="FM29" s="298"/>
      <c r="FN29" s="443" t="s">
        <v>312</v>
      </c>
      <c r="FO29" s="444"/>
      <c r="FP29" s="444"/>
      <c r="FQ29" s="445"/>
      <c r="FR29" s="334">
        <f>FR13</f>
        <v>42.77301</v>
      </c>
      <c r="FS29" s="321" t="s">
        <v>3</v>
      </c>
      <c r="FT29" s="315"/>
      <c r="FU29" s="443" t="s">
        <v>312</v>
      </c>
      <c r="FV29" s="444"/>
      <c r="FW29" s="444"/>
      <c r="FX29" s="445"/>
      <c r="FY29" s="334">
        <f>FY15</f>
        <v>51.70036999999999</v>
      </c>
      <c r="FZ29" s="321" t="s">
        <v>3</v>
      </c>
      <c r="GA29" s="298"/>
      <c r="GB29" s="443" t="s">
        <v>312</v>
      </c>
      <c r="GC29" s="444"/>
      <c r="GD29" s="444"/>
      <c r="GE29" s="445"/>
      <c r="GF29" s="334">
        <f>GF13</f>
        <v>38.848949999999995</v>
      </c>
      <c r="GG29" s="321" t="s">
        <v>3</v>
      </c>
    </row>
    <row r="30" spans="2:189" ht="15" customHeight="1" thickBot="1">
      <c r="B30" s="446" t="s">
        <v>281</v>
      </c>
      <c r="C30" s="447"/>
      <c r="D30" s="447"/>
      <c r="E30" s="448"/>
      <c r="F30" s="335">
        <f>SUM(F28:F29)</f>
        <v>43.64894999999999</v>
      </c>
      <c r="G30" s="333" t="s">
        <v>3</v>
      </c>
      <c r="H30" s="298"/>
      <c r="I30" s="446" t="s">
        <v>281</v>
      </c>
      <c r="J30" s="447"/>
      <c r="K30" s="447"/>
      <c r="L30" s="448"/>
      <c r="M30" s="335">
        <f>SUM(M28:M29)</f>
        <v>18.250439999999998</v>
      </c>
      <c r="N30" s="333" t="s">
        <v>3</v>
      </c>
      <c r="O30" s="298"/>
      <c r="P30" s="314"/>
      <c r="Q30" s="314"/>
      <c r="R30" s="314"/>
      <c r="S30" s="314"/>
      <c r="T30" s="345"/>
      <c r="U30" s="315"/>
      <c r="V30" s="298"/>
      <c r="W30" s="446" t="s">
        <v>281</v>
      </c>
      <c r="X30" s="447"/>
      <c r="Y30" s="447"/>
      <c r="Z30" s="448"/>
      <c r="AA30" s="335">
        <f>SUM(AA28:AA29)</f>
        <v>35.18339</v>
      </c>
      <c r="AB30" s="333" t="s">
        <v>3</v>
      </c>
      <c r="AC30" s="298"/>
      <c r="AD30" s="446" t="s">
        <v>281</v>
      </c>
      <c r="AE30" s="447"/>
      <c r="AF30" s="447"/>
      <c r="AG30" s="448"/>
      <c r="AH30" s="335">
        <f>SUM(AH28:AH29)</f>
        <v>30.69419</v>
      </c>
      <c r="AI30" s="333" t="s">
        <v>3</v>
      </c>
      <c r="AJ30" s="298"/>
      <c r="AK30" s="446" t="s">
        <v>281</v>
      </c>
      <c r="AL30" s="447"/>
      <c r="AM30" s="447"/>
      <c r="AN30" s="448"/>
      <c r="AO30" s="335">
        <f>SUM(AO28:AO29)</f>
        <v>26.229479999999995</v>
      </c>
      <c r="AP30" s="333" t="s">
        <v>3</v>
      </c>
      <c r="AQ30" s="298"/>
      <c r="AR30" s="443" t="s">
        <v>312</v>
      </c>
      <c r="AS30" s="444"/>
      <c r="AT30" s="444"/>
      <c r="AU30" s="445"/>
      <c r="AV30" s="334">
        <f>AV12</f>
        <v>31.914490000000004</v>
      </c>
      <c r="AW30" s="321" t="s">
        <v>3</v>
      </c>
      <c r="AX30" s="298"/>
      <c r="AY30" s="449" t="s">
        <v>298</v>
      </c>
      <c r="AZ30" s="450"/>
      <c r="BA30" s="450"/>
      <c r="BB30" s="450"/>
      <c r="BC30" s="450"/>
      <c r="BD30" s="451"/>
      <c r="BE30" s="298"/>
      <c r="BF30" s="446" t="s">
        <v>281</v>
      </c>
      <c r="BG30" s="447"/>
      <c r="BH30" s="447"/>
      <c r="BI30" s="448"/>
      <c r="BJ30" s="335">
        <f>SUM(BJ28:BJ29)</f>
        <v>61.936910000000005</v>
      </c>
      <c r="BK30" s="333" t="s">
        <v>3</v>
      </c>
      <c r="BM30" s="446" t="s">
        <v>281</v>
      </c>
      <c r="BN30" s="447"/>
      <c r="BO30" s="447"/>
      <c r="BP30" s="448"/>
      <c r="BQ30" s="335">
        <f>SUM(BQ28:BQ29)</f>
        <v>31.785340000000005</v>
      </c>
      <c r="BR30" s="333" t="s">
        <v>3</v>
      </c>
      <c r="BS30" s="298"/>
      <c r="BT30" s="446" t="s">
        <v>281</v>
      </c>
      <c r="BU30" s="447"/>
      <c r="BV30" s="447"/>
      <c r="BW30" s="448"/>
      <c r="BX30" s="335">
        <f>SUM(BX28:BX29)</f>
        <v>31.02581</v>
      </c>
      <c r="BY30" s="333" t="s">
        <v>3</v>
      </c>
      <c r="BZ30" s="298"/>
      <c r="CA30" s="446" t="s">
        <v>281</v>
      </c>
      <c r="CB30" s="447"/>
      <c r="CC30" s="447"/>
      <c r="CD30" s="448"/>
      <c r="CE30" s="335">
        <f>SUM(CE28:CE29)</f>
        <v>36.38283</v>
      </c>
      <c r="CF30" s="333" t="s">
        <v>3</v>
      </c>
      <c r="CG30" s="298"/>
      <c r="CH30" s="446" t="s">
        <v>281</v>
      </c>
      <c r="CI30" s="447"/>
      <c r="CJ30" s="447"/>
      <c r="CK30" s="448"/>
      <c r="CL30" s="335">
        <f>SUM(CL28:CL29)</f>
        <v>38.35566</v>
      </c>
      <c r="CM30" s="333" t="s">
        <v>3</v>
      </c>
      <c r="CN30" s="298"/>
      <c r="CO30" s="446" t="s">
        <v>281</v>
      </c>
      <c r="CP30" s="447"/>
      <c r="CQ30" s="447"/>
      <c r="CR30" s="448"/>
      <c r="CS30" s="335">
        <f>SUM(CS28:CS29)</f>
        <v>52.85685</v>
      </c>
      <c r="CT30" s="333" t="s">
        <v>3</v>
      </c>
      <c r="CU30" s="298"/>
      <c r="CV30" s="497" t="s">
        <v>281</v>
      </c>
      <c r="CW30" s="498"/>
      <c r="CX30" s="498"/>
      <c r="CY30" s="499"/>
      <c r="CZ30" s="335">
        <f>SUM(CZ28:CZ29)</f>
        <v>54.54583</v>
      </c>
      <c r="DA30" s="333" t="s">
        <v>3</v>
      </c>
      <c r="DB30" s="298"/>
      <c r="DC30" s="446" t="s">
        <v>281</v>
      </c>
      <c r="DD30" s="447"/>
      <c r="DE30" s="447"/>
      <c r="DF30" s="448"/>
      <c r="DG30" s="335">
        <f>SUM(DG28:DG29)</f>
        <v>49.98301</v>
      </c>
      <c r="DH30" s="333" t="s">
        <v>3</v>
      </c>
      <c r="DI30" s="298"/>
      <c r="DJ30" s="446" t="s">
        <v>281</v>
      </c>
      <c r="DK30" s="447"/>
      <c r="DL30" s="447"/>
      <c r="DM30" s="448"/>
      <c r="DN30" s="335">
        <f>SUM(DN28:DN29)</f>
        <v>49.088359999999994</v>
      </c>
      <c r="DO30" s="333" t="s">
        <v>3</v>
      </c>
      <c r="DP30" s="298"/>
      <c r="DQ30" s="446" t="s">
        <v>281</v>
      </c>
      <c r="DR30" s="447"/>
      <c r="DS30" s="447"/>
      <c r="DT30" s="448"/>
      <c r="DU30" s="335">
        <f>SUM(DU28:DU29)</f>
        <v>44.25878</v>
      </c>
      <c r="DV30" s="333" t="s">
        <v>3</v>
      </c>
      <c r="DX30" s="446" t="s">
        <v>281</v>
      </c>
      <c r="DY30" s="447"/>
      <c r="DZ30" s="447"/>
      <c r="EA30" s="448"/>
      <c r="EB30" s="335">
        <f>SUM(EB28:EB29)</f>
        <v>61.936910000000005</v>
      </c>
      <c r="EC30" s="333" t="s">
        <v>3</v>
      </c>
      <c r="ED30" s="298"/>
      <c r="EE30" s="443" t="s">
        <v>368</v>
      </c>
      <c r="EF30" s="444"/>
      <c r="EG30" s="444"/>
      <c r="EH30" s="445"/>
      <c r="EI30" s="334">
        <f>EI13</f>
        <v>25.293029999999998</v>
      </c>
      <c r="EJ30" s="321" t="s">
        <v>3</v>
      </c>
      <c r="EK30" s="298"/>
      <c r="EL30" s="443" t="s">
        <v>368</v>
      </c>
      <c r="EM30" s="444"/>
      <c r="EN30" s="444"/>
      <c r="EO30" s="445"/>
      <c r="EP30" s="334">
        <f>EP12</f>
        <v>21.941059999999997</v>
      </c>
      <c r="EQ30" s="321" t="s">
        <v>3</v>
      </c>
      <c r="ER30" s="298"/>
      <c r="ES30" s="446" t="s">
        <v>281</v>
      </c>
      <c r="ET30" s="447"/>
      <c r="EU30" s="447"/>
      <c r="EV30" s="448"/>
      <c r="EW30" s="335">
        <f>SUM(EW28:EW29)</f>
        <v>32.89824</v>
      </c>
      <c r="EX30" s="333" t="s">
        <v>3</v>
      </c>
      <c r="EY30" s="298"/>
      <c r="EZ30" s="446" t="s">
        <v>281</v>
      </c>
      <c r="FA30" s="447"/>
      <c r="FB30" s="447"/>
      <c r="FC30" s="448"/>
      <c r="FD30" s="335">
        <f>SUM(FD28:FD29)</f>
        <v>58.120110000000004</v>
      </c>
      <c r="FE30" s="333" t="s">
        <v>3</v>
      </c>
      <c r="FF30" s="298"/>
      <c r="FG30" s="446" t="s">
        <v>281</v>
      </c>
      <c r="FH30" s="447"/>
      <c r="FI30" s="447"/>
      <c r="FJ30" s="448"/>
      <c r="FK30" s="335">
        <f>SUM(FK28:FK29)</f>
        <v>43.20063</v>
      </c>
      <c r="FL30" s="333" t="s">
        <v>3</v>
      </c>
      <c r="FM30" s="298"/>
      <c r="FN30" s="446" t="s">
        <v>281</v>
      </c>
      <c r="FO30" s="447"/>
      <c r="FP30" s="447"/>
      <c r="FQ30" s="448"/>
      <c r="FR30" s="335">
        <f>SUM(FR28:FR29)</f>
        <v>42.77301</v>
      </c>
      <c r="FS30" s="333" t="s">
        <v>3</v>
      </c>
      <c r="FT30" s="354"/>
      <c r="FU30" s="446" t="s">
        <v>281</v>
      </c>
      <c r="FV30" s="447"/>
      <c r="FW30" s="447"/>
      <c r="FX30" s="448"/>
      <c r="FY30" s="335">
        <f>SUM(FY28:FY29)</f>
        <v>56.50036999999999</v>
      </c>
      <c r="FZ30" s="333" t="s">
        <v>3</v>
      </c>
      <c r="GA30" s="298"/>
      <c r="GB30" s="446" t="s">
        <v>281</v>
      </c>
      <c r="GC30" s="447"/>
      <c r="GD30" s="447"/>
      <c r="GE30" s="448"/>
      <c r="GF30" s="335">
        <f>SUM(GF28:GF29)</f>
        <v>43.64894999999999</v>
      </c>
      <c r="GG30" s="333" t="s">
        <v>3</v>
      </c>
    </row>
    <row r="31" spans="2:189" ht="15.75" thickBot="1">
      <c r="B31" s="314"/>
      <c r="C31" s="314"/>
      <c r="D31" s="314"/>
      <c r="E31" s="314"/>
      <c r="F31" s="345"/>
      <c r="G31" s="315"/>
      <c r="H31" s="298"/>
      <c r="I31" s="314"/>
      <c r="J31" s="314"/>
      <c r="K31" s="314"/>
      <c r="L31" s="314"/>
      <c r="M31" s="345"/>
      <c r="N31" s="315"/>
      <c r="O31" s="298"/>
      <c r="P31" s="449" t="s">
        <v>298</v>
      </c>
      <c r="Q31" s="450"/>
      <c r="R31" s="450"/>
      <c r="S31" s="450"/>
      <c r="T31" s="450"/>
      <c r="U31" s="451"/>
      <c r="V31" s="298"/>
      <c r="W31" s="314"/>
      <c r="X31" s="314"/>
      <c r="Y31" s="314"/>
      <c r="Z31" s="314"/>
      <c r="AA31" s="345"/>
      <c r="AB31" s="315"/>
      <c r="AC31" s="298"/>
      <c r="AD31" s="314"/>
      <c r="AE31" s="314"/>
      <c r="AF31" s="314"/>
      <c r="AG31" s="314"/>
      <c r="AH31" s="345"/>
      <c r="AI31" s="315"/>
      <c r="AJ31" s="298"/>
      <c r="AK31" s="314"/>
      <c r="AL31" s="314"/>
      <c r="AM31" s="314"/>
      <c r="AN31" s="314"/>
      <c r="AO31" s="345"/>
      <c r="AP31" s="315"/>
      <c r="AQ31" s="298"/>
      <c r="AR31" s="446" t="s">
        <v>281</v>
      </c>
      <c r="AS31" s="447"/>
      <c r="AT31" s="447"/>
      <c r="AU31" s="448"/>
      <c r="AV31" s="335">
        <f>SUM(AV29:AV30)</f>
        <v>36.714490000000005</v>
      </c>
      <c r="AW31" s="333" t="s">
        <v>3</v>
      </c>
      <c r="AX31" s="298"/>
      <c r="AY31" s="452"/>
      <c r="AZ31" s="453"/>
      <c r="BA31" s="453"/>
      <c r="BB31" s="453"/>
      <c r="BC31" s="453"/>
      <c r="BD31" s="454"/>
      <c r="BE31" s="298"/>
      <c r="BF31" s="314"/>
      <c r="BG31" s="314"/>
      <c r="BH31" s="314"/>
      <c r="BI31" s="314"/>
      <c r="BJ31" s="345"/>
      <c r="BK31" s="315"/>
      <c r="BM31" s="314"/>
      <c r="BN31" s="314"/>
      <c r="BO31" s="314"/>
      <c r="BP31" s="314"/>
      <c r="BQ31" s="345"/>
      <c r="BR31" s="315"/>
      <c r="BS31" s="298"/>
      <c r="BT31" s="314"/>
      <c r="BU31" s="314"/>
      <c r="BV31" s="314"/>
      <c r="BW31" s="314"/>
      <c r="BX31" s="345"/>
      <c r="BY31" s="315"/>
      <c r="BZ31" s="298"/>
      <c r="CA31" s="314"/>
      <c r="CB31" s="314"/>
      <c r="CC31" s="314"/>
      <c r="CD31" s="314"/>
      <c r="CE31" s="345"/>
      <c r="CF31" s="315"/>
      <c r="CG31" s="298"/>
      <c r="CH31" s="314"/>
      <c r="CI31" s="314"/>
      <c r="CJ31" s="314"/>
      <c r="CK31" s="314"/>
      <c r="CL31" s="345"/>
      <c r="CM31" s="315"/>
      <c r="CN31" s="298"/>
      <c r="CO31" s="314"/>
      <c r="CP31" s="314"/>
      <c r="CQ31" s="314"/>
      <c r="CR31" s="314"/>
      <c r="CS31" s="345"/>
      <c r="CT31" s="315"/>
      <c r="CU31" s="298"/>
      <c r="CV31" s="388"/>
      <c r="CW31" s="389"/>
      <c r="CX31" s="389"/>
      <c r="CY31" s="389"/>
      <c r="CZ31" s="390"/>
      <c r="DA31" s="391"/>
      <c r="DB31" s="298"/>
      <c r="DC31" s="314"/>
      <c r="DD31" s="314"/>
      <c r="DE31" s="314"/>
      <c r="DF31" s="314"/>
      <c r="DG31" s="345"/>
      <c r="DH31" s="315"/>
      <c r="DI31" s="298"/>
      <c r="DJ31" s="314"/>
      <c r="DK31" s="314"/>
      <c r="DL31" s="314"/>
      <c r="DM31" s="314"/>
      <c r="DN31" s="345"/>
      <c r="DO31" s="315"/>
      <c r="DP31" s="298"/>
      <c r="DQ31" s="314"/>
      <c r="DR31" s="314"/>
      <c r="DS31" s="314"/>
      <c r="DT31" s="314"/>
      <c r="DU31" s="345"/>
      <c r="DV31" s="315"/>
      <c r="DX31" s="314"/>
      <c r="DY31" s="314"/>
      <c r="DZ31" s="314"/>
      <c r="EA31" s="314"/>
      <c r="EB31" s="345"/>
      <c r="EC31" s="315"/>
      <c r="ED31" s="298"/>
      <c r="EE31" s="443" t="s">
        <v>362</v>
      </c>
      <c r="EF31" s="444"/>
      <c r="EG31" s="444"/>
      <c r="EH31" s="445"/>
      <c r="EI31" s="304">
        <v>0</v>
      </c>
      <c r="EJ31" s="321" t="s">
        <v>3</v>
      </c>
      <c r="EK31" s="298"/>
      <c r="EL31" s="443" t="s">
        <v>362</v>
      </c>
      <c r="EM31" s="444"/>
      <c r="EN31" s="444"/>
      <c r="EO31" s="445"/>
      <c r="EP31" s="304">
        <v>0</v>
      </c>
      <c r="EQ31" s="321" t="s">
        <v>3</v>
      </c>
      <c r="ER31" s="298"/>
      <c r="ES31" s="314"/>
      <c r="ET31" s="314"/>
      <c r="EU31" s="314"/>
      <c r="EV31" s="314"/>
      <c r="EW31" s="345"/>
      <c r="EX31" s="315"/>
      <c r="EY31" s="298"/>
      <c r="EZ31" s="314"/>
      <c r="FA31" s="314"/>
      <c r="FB31" s="314"/>
      <c r="FC31" s="314"/>
      <c r="FD31" s="345"/>
      <c r="FE31" s="315"/>
      <c r="FF31" s="298"/>
      <c r="FG31" s="314"/>
      <c r="FH31" s="314"/>
      <c r="FI31" s="314"/>
      <c r="FJ31" s="314"/>
      <c r="FK31" s="345"/>
      <c r="FL31" s="315"/>
      <c r="FM31" s="298"/>
      <c r="FN31" s="314"/>
      <c r="FO31" s="314"/>
      <c r="FP31" s="314"/>
      <c r="FQ31" s="314"/>
      <c r="FR31" s="345"/>
      <c r="FS31" s="315"/>
      <c r="FT31" s="342"/>
      <c r="FU31" s="314"/>
      <c r="FV31" s="314"/>
      <c r="FW31" s="314"/>
      <c r="FX31" s="314"/>
      <c r="FY31" s="345"/>
      <c r="FZ31" s="315"/>
      <c r="GA31" s="298"/>
      <c r="GB31" s="314"/>
      <c r="GC31" s="314"/>
      <c r="GD31" s="314"/>
      <c r="GE31" s="314"/>
      <c r="GF31" s="345"/>
      <c r="GG31" s="315"/>
    </row>
    <row r="32" spans="2:189" ht="15.75" customHeight="1" thickBot="1">
      <c r="B32" s="449" t="s">
        <v>298</v>
      </c>
      <c r="C32" s="450"/>
      <c r="D32" s="450"/>
      <c r="E32" s="450"/>
      <c r="F32" s="450"/>
      <c r="G32" s="451"/>
      <c r="H32" s="298"/>
      <c r="I32" s="449" t="s">
        <v>298</v>
      </c>
      <c r="J32" s="450"/>
      <c r="K32" s="450"/>
      <c r="L32" s="450"/>
      <c r="M32" s="450"/>
      <c r="N32" s="451"/>
      <c r="O32" s="298"/>
      <c r="P32" s="452"/>
      <c r="Q32" s="453"/>
      <c r="R32" s="453"/>
      <c r="S32" s="453"/>
      <c r="T32" s="453"/>
      <c r="U32" s="454"/>
      <c r="V32" s="298"/>
      <c r="W32" s="449" t="s">
        <v>298</v>
      </c>
      <c r="X32" s="450"/>
      <c r="Y32" s="450"/>
      <c r="Z32" s="450"/>
      <c r="AA32" s="450"/>
      <c r="AB32" s="451"/>
      <c r="AC32" s="298"/>
      <c r="AD32" s="449" t="s">
        <v>298</v>
      </c>
      <c r="AE32" s="450"/>
      <c r="AF32" s="450"/>
      <c r="AG32" s="450"/>
      <c r="AH32" s="450"/>
      <c r="AI32" s="451"/>
      <c r="AJ32" s="298"/>
      <c r="AK32" s="449" t="s">
        <v>298</v>
      </c>
      <c r="AL32" s="450"/>
      <c r="AM32" s="450"/>
      <c r="AN32" s="450"/>
      <c r="AO32" s="450"/>
      <c r="AP32" s="451"/>
      <c r="AQ32" s="298"/>
      <c r="AR32" s="314"/>
      <c r="AS32" s="314"/>
      <c r="AT32" s="314"/>
      <c r="AU32" s="314"/>
      <c r="AV32" s="345"/>
      <c r="AW32" s="315"/>
      <c r="AX32" s="298"/>
      <c r="AY32" s="455" t="s">
        <v>299</v>
      </c>
      <c r="AZ32" s="456"/>
      <c r="BA32" s="456"/>
      <c r="BB32" s="456"/>
      <c r="BC32" s="456"/>
      <c r="BD32" s="457"/>
      <c r="BE32" s="298"/>
      <c r="BF32" s="449" t="s">
        <v>298</v>
      </c>
      <c r="BG32" s="450"/>
      <c r="BH32" s="450"/>
      <c r="BI32" s="450"/>
      <c r="BJ32" s="450"/>
      <c r="BK32" s="451"/>
      <c r="BM32" s="449" t="s">
        <v>298</v>
      </c>
      <c r="BN32" s="450"/>
      <c r="BO32" s="450"/>
      <c r="BP32" s="450"/>
      <c r="BQ32" s="450"/>
      <c r="BR32" s="451"/>
      <c r="BS32" s="298"/>
      <c r="BT32" s="449" t="s">
        <v>298</v>
      </c>
      <c r="BU32" s="450"/>
      <c r="BV32" s="450"/>
      <c r="BW32" s="450"/>
      <c r="BX32" s="450"/>
      <c r="BY32" s="451"/>
      <c r="BZ32" s="298"/>
      <c r="CA32" s="449" t="s">
        <v>298</v>
      </c>
      <c r="CB32" s="450"/>
      <c r="CC32" s="450"/>
      <c r="CD32" s="450"/>
      <c r="CE32" s="450"/>
      <c r="CF32" s="451"/>
      <c r="CG32" s="298"/>
      <c r="CH32" s="449" t="s">
        <v>298</v>
      </c>
      <c r="CI32" s="450"/>
      <c r="CJ32" s="450"/>
      <c r="CK32" s="450"/>
      <c r="CL32" s="450"/>
      <c r="CM32" s="451"/>
      <c r="CN32" s="298"/>
      <c r="CO32" s="449" t="s">
        <v>298</v>
      </c>
      <c r="CP32" s="450"/>
      <c r="CQ32" s="450"/>
      <c r="CR32" s="450"/>
      <c r="CS32" s="450"/>
      <c r="CT32" s="451"/>
      <c r="CU32" s="298"/>
      <c r="CV32" s="449" t="s">
        <v>298</v>
      </c>
      <c r="CW32" s="450"/>
      <c r="CX32" s="450"/>
      <c r="CY32" s="450"/>
      <c r="CZ32" s="450"/>
      <c r="DA32" s="451"/>
      <c r="DB32" s="298"/>
      <c r="DC32" s="449" t="s">
        <v>298</v>
      </c>
      <c r="DD32" s="450"/>
      <c r="DE32" s="450"/>
      <c r="DF32" s="450"/>
      <c r="DG32" s="450"/>
      <c r="DH32" s="451"/>
      <c r="DI32" s="298"/>
      <c r="DJ32" s="449" t="s">
        <v>298</v>
      </c>
      <c r="DK32" s="450"/>
      <c r="DL32" s="450"/>
      <c r="DM32" s="450"/>
      <c r="DN32" s="450"/>
      <c r="DO32" s="451"/>
      <c r="DP32" s="298"/>
      <c r="DQ32" s="449" t="s">
        <v>298</v>
      </c>
      <c r="DR32" s="450"/>
      <c r="DS32" s="450"/>
      <c r="DT32" s="450"/>
      <c r="DU32" s="450"/>
      <c r="DV32" s="451"/>
      <c r="DX32" s="449" t="s">
        <v>298</v>
      </c>
      <c r="DY32" s="450"/>
      <c r="DZ32" s="450"/>
      <c r="EA32" s="450"/>
      <c r="EB32" s="450"/>
      <c r="EC32" s="451"/>
      <c r="ED32" s="298"/>
      <c r="EE32" s="446" t="s">
        <v>281</v>
      </c>
      <c r="EF32" s="447"/>
      <c r="EG32" s="447"/>
      <c r="EH32" s="448"/>
      <c r="EI32" s="335">
        <f>SUM(EI28:EI31)</f>
        <v>50.586059999999996</v>
      </c>
      <c r="EJ32" s="333" t="s">
        <v>3</v>
      </c>
      <c r="EK32" s="298"/>
      <c r="EL32" s="446" t="s">
        <v>281</v>
      </c>
      <c r="EM32" s="447"/>
      <c r="EN32" s="447"/>
      <c r="EO32" s="448"/>
      <c r="EP32" s="335">
        <f>SUM(EP28:EP31)</f>
        <v>43.88211999999999</v>
      </c>
      <c r="EQ32" s="333" t="s">
        <v>3</v>
      </c>
      <c r="ER32" s="298"/>
      <c r="ES32" s="449" t="s">
        <v>298</v>
      </c>
      <c r="ET32" s="450"/>
      <c r="EU32" s="450"/>
      <c r="EV32" s="450"/>
      <c r="EW32" s="450"/>
      <c r="EX32" s="451"/>
      <c r="EY32" s="298"/>
      <c r="EZ32" s="449" t="s">
        <v>298</v>
      </c>
      <c r="FA32" s="450"/>
      <c r="FB32" s="450"/>
      <c r="FC32" s="450"/>
      <c r="FD32" s="450"/>
      <c r="FE32" s="451"/>
      <c r="FF32" s="298"/>
      <c r="FG32" s="449" t="s">
        <v>298</v>
      </c>
      <c r="FH32" s="450"/>
      <c r="FI32" s="450"/>
      <c r="FJ32" s="450"/>
      <c r="FK32" s="450"/>
      <c r="FL32" s="451"/>
      <c r="FM32" s="298"/>
      <c r="FN32" s="449" t="s">
        <v>298</v>
      </c>
      <c r="FO32" s="450"/>
      <c r="FP32" s="450"/>
      <c r="FQ32" s="450"/>
      <c r="FR32" s="450"/>
      <c r="FS32" s="451"/>
      <c r="FT32" s="342"/>
      <c r="FU32" s="449" t="s">
        <v>298</v>
      </c>
      <c r="FV32" s="450"/>
      <c r="FW32" s="450"/>
      <c r="FX32" s="450"/>
      <c r="FY32" s="450"/>
      <c r="FZ32" s="451"/>
      <c r="GA32" s="298"/>
      <c r="GB32" s="449" t="s">
        <v>298</v>
      </c>
      <c r="GC32" s="450"/>
      <c r="GD32" s="450"/>
      <c r="GE32" s="450"/>
      <c r="GF32" s="450"/>
      <c r="GG32" s="451"/>
    </row>
    <row r="33" spans="2:189" ht="15.75" thickBot="1">
      <c r="B33" s="452"/>
      <c r="C33" s="453"/>
      <c r="D33" s="453"/>
      <c r="E33" s="453"/>
      <c r="F33" s="453"/>
      <c r="G33" s="454"/>
      <c r="H33" s="298"/>
      <c r="I33" s="452"/>
      <c r="J33" s="453"/>
      <c r="K33" s="453"/>
      <c r="L33" s="453"/>
      <c r="M33" s="453"/>
      <c r="N33" s="454"/>
      <c r="O33" s="298"/>
      <c r="P33" s="455" t="s">
        <v>299</v>
      </c>
      <c r="Q33" s="456"/>
      <c r="R33" s="456"/>
      <c r="S33" s="456"/>
      <c r="T33" s="456"/>
      <c r="U33" s="457"/>
      <c r="V33" s="298"/>
      <c r="W33" s="452"/>
      <c r="X33" s="453"/>
      <c r="Y33" s="453"/>
      <c r="Z33" s="453"/>
      <c r="AA33" s="453"/>
      <c r="AB33" s="454"/>
      <c r="AC33" s="298"/>
      <c r="AD33" s="452"/>
      <c r="AE33" s="453"/>
      <c r="AF33" s="453"/>
      <c r="AG33" s="453"/>
      <c r="AH33" s="453"/>
      <c r="AI33" s="454"/>
      <c r="AJ33" s="298"/>
      <c r="AK33" s="452"/>
      <c r="AL33" s="453"/>
      <c r="AM33" s="453"/>
      <c r="AN33" s="453"/>
      <c r="AO33" s="453"/>
      <c r="AP33" s="454"/>
      <c r="AQ33" s="298"/>
      <c r="AR33" s="449" t="s">
        <v>298</v>
      </c>
      <c r="AS33" s="450"/>
      <c r="AT33" s="450"/>
      <c r="AU33" s="450"/>
      <c r="AV33" s="450"/>
      <c r="AW33" s="451"/>
      <c r="AX33" s="298"/>
      <c r="AY33" s="458" t="s">
        <v>322</v>
      </c>
      <c r="AZ33" s="460" t="s">
        <v>257</v>
      </c>
      <c r="BA33" s="462" t="s">
        <v>315</v>
      </c>
      <c r="BB33" s="463"/>
      <c r="BC33" s="460" t="s">
        <v>103</v>
      </c>
      <c r="BD33" s="466" t="s">
        <v>258</v>
      </c>
      <c r="BE33" s="298"/>
      <c r="BF33" s="452"/>
      <c r="BG33" s="453"/>
      <c r="BH33" s="453"/>
      <c r="BI33" s="453"/>
      <c r="BJ33" s="453"/>
      <c r="BK33" s="454"/>
      <c r="BM33" s="452"/>
      <c r="BN33" s="453"/>
      <c r="BO33" s="453"/>
      <c r="BP33" s="453"/>
      <c r="BQ33" s="453"/>
      <c r="BR33" s="454"/>
      <c r="BS33" s="298"/>
      <c r="BT33" s="452"/>
      <c r="BU33" s="453"/>
      <c r="BV33" s="453"/>
      <c r="BW33" s="453"/>
      <c r="BX33" s="453"/>
      <c r="BY33" s="454"/>
      <c r="BZ33" s="298"/>
      <c r="CA33" s="452"/>
      <c r="CB33" s="453"/>
      <c r="CC33" s="453"/>
      <c r="CD33" s="453"/>
      <c r="CE33" s="453"/>
      <c r="CF33" s="454"/>
      <c r="CG33" s="298"/>
      <c r="CH33" s="452"/>
      <c r="CI33" s="453"/>
      <c r="CJ33" s="453"/>
      <c r="CK33" s="453"/>
      <c r="CL33" s="453"/>
      <c r="CM33" s="454"/>
      <c r="CN33" s="298"/>
      <c r="CO33" s="452"/>
      <c r="CP33" s="453"/>
      <c r="CQ33" s="453"/>
      <c r="CR33" s="453"/>
      <c r="CS33" s="453"/>
      <c r="CT33" s="454"/>
      <c r="CU33" s="298"/>
      <c r="CV33" s="449"/>
      <c r="CW33" s="450"/>
      <c r="CX33" s="450"/>
      <c r="CY33" s="450"/>
      <c r="CZ33" s="450"/>
      <c r="DA33" s="451"/>
      <c r="DB33" s="298"/>
      <c r="DC33" s="452"/>
      <c r="DD33" s="453"/>
      <c r="DE33" s="453"/>
      <c r="DF33" s="453"/>
      <c r="DG33" s="453"/>
      <c r="DH33" s="454"/>
      <c r="DI33" s="298"/>
      <c r="DJ33" s="452"/>
      <c r="DK33" s="453"/>
      <c r="DL33" s="453"/>
      <c r="DM33" s="453"/>
      <c r="DN33" s="453"/>
      <c r="DO33" s="454"/>
      <c r="DP33" s="298"/>
      <c r="DQ33" s="452"/>
      <c r="DR33" s="453"/>
      <c r="DS33" s="453"/>
      <c r="DT33" s="453"/>
      <c r="DU33" s="453"/>
      <c r="DV33" s="454"/>
      <c r="DX33" s="452"/>
      <c r="DY33" s="453"/>
      <c r="DZ33" s="453"/>
      <c r="EA33" s="453"/>
      <c r="EB33" s="453"/>
      <c r="EC33" s="454"/>
      <c r="ED33" s="298"/>
      <c r="EE33" s="367"/>
      <c r="EF33" s="368"/>
      <c r="EG33" s="368"/>
      <c r="EH33" s="368"/>
      <c r="EI33" s="369"/>
      <c r="EJ33" s="370"/>
      <c r="EK33" s="298"/>
      <c r="EL33" s="367"/>
      <c r="EM33" s="368"/>
      <c r="EN33" s="368"/>
      <c r="EO33" s="368"/>
      <c r="EP33" s="369"/>
      <c r="EQ33" s="370"/>
      <c r="ER33" s="298"/>
      <c r="ES33" s="452"/>
      <c r="ET33" s="453"/>
      <c r="EU33" s="453"/>
      <c r="EV33" s="453"/>
      <c r="EW33" s="453"/>
      <c r="EX33" s="454"/>
      <c r="EY33" s="298"/>
      <c r="EZ33" s="452"/>
      <c r="FA33" s="453"/>
      <c r="FB33" s="453"/>
      <c r="FC33" s="453"/>
      <c r="FD33" s="453"/>
      <c r="FE33" s="454"/>
      <c r="FF33" s="298"/>
      <c r="FG33" s="452"/>
      <c r="FH33" s="453"/>
      <c r="FI33" s="453"/>
      <c r="FJ33" s="453"/>
      <c r="FK33" s="453"/>
      <c r="FL33" s="454"/>
      <c r="FM33" s="298"/>
      <c r="FN33" s="452"/>
      <c r="FO33" s="453"/>
      <c r="FP33" s="453"/>
      <c r="FQ33" s="453"/>
      <c r="FR33" s="453"/>
      <c r="FS33" s="454"/>
      <c r="FT33" s="342"/>
      <c r="FU33" s="452"/>
      <c r="FV33" s="453"/>
      <c r="FW33" s="453"/>
      <c r="FX33" s="453"/>
      <c r="FY33" s="453"/>
      <c r="FZ33" s="454"/>
      <c r="GA33" s="298"/>
      <c r="GB33" s="452"/>
      <c r="GC33" s="453"/>
      <c r="GD33" s="453"/>
      <c r="GE33" s="453"/>
      <c r="GF33" s="453"/>
      <c r="GG33" s="454"/>
    </row>
    <row r="34" spans="2:189" ht="15.75" customHeight="1" thickBot="1">
      <c r="B34" s="455" t="s">
        <v>299</v>
      </c>
      <c r="C34" s="456"/>
      <c r="D34" s="456"/>
      <c r="E34" s="456"/>
      <c r="F34" s="456"/>
      <c r="G34" s="457"/>
      <c r="H34" s="298"/>
      <c r="I34" s="455" t="s">
        <v>299</v>
      </c>
      <c r="J34" s="456"/>
      <c r="K34" s="456"/>
      <c r="L34" s="456"/>
      <c r="M34" s="456"/>
      <c r="N34" s="457"/>
      <c r="O34" s="298"/>
      <c r="P34" s="458" t="s">
        <v>317</v>
      </c>
      <c r="Q34" s="460" t="s">
        <v>257</v>
      </c>
      <c r="R34" s="462" t="s">
        <v>315</v>
      </c>
      <c r="S34" s="463"/>
      <c r="T34" s="460" t="s">
        <v>103</v>
      </c>
      <c r="U34" s="466" t="s">
        <v>258</v>
      </c>
      <c r="V34" s="298"/>
      <c r="W34" s="455" t="s">
        <v>299</v>
      </c>
      <c r="X34" s="456"/>
      <c r="Y34" s="456"/>
      <c r="Z34" s="456"/>
      <c r="AA34" s="456"/>
      <c r="AB34" s="457"/>
      <c r="AC34" s="371"/>
      <c r="AD34" s="455" t="s">
        <v>299</v>
      </c>
      <c r="AE34" s="456"/>
      <c r="AF34" s="456"/>
      <c r="AG34" s="456"/>
      <c r="AH34" s="456"/>
      <c r="AI34" s="457"/>
      <c r="AJ34" s="298"/>
      <c r="AK34" s="455" t="s">
        <v>299</v>
      </c>
      <c r="AL34" s="456"/>
      <c r="AM34" s="456"/>
      <c r="AN34" s="456"/>
      <c r="AO34" s="456"/>
      <c r="AP34" s="457"/>
      <c r="AQ34" s="298"/>
      <c r="AR34" s="452"/>
      <c r="AS34" s="453"/>
      <c r="AT34" s="453"/>
      <c r="AU34" s="453"/>
      <c r="AV34" s="453"/>
      <c r="AW34" s="454"/>
      <c r="AX34" s="298"/>
      <c r="AY34" s="459"/>
      <c r="AZ34" s="461"/>
      <c r="BA34" s="464"/>
      <c r="BB34" s="465"/>
      <c r="BC34" s="461"/>
      <c r="BD34" s="467"/>
      <c r="BE34" s="298"/>
      <c r="BF34" s="455" t="s">
        <v>299</v>
      </c>
      <c r="BG34" s="456"/>
      <c r="BH34" s="456"/>
      <c r="BI34" s="456"/>
      <c r="BJ34" s="456"/>
      <c r="BK34" s="457"/>
      <c r="BM34" s="455" t="s">
        <v>299</v>
      </c>
      <c r="BN34" s="456"/>
      <c r="BO34" s="456"/>
      <c r="BP34" s="456"/>
      <c r="BQ34" s="456"/>
      <c r="BR34" s="457"/>
      <c r="BS34" s="298"/>
      <c r="BT34" s="455" t="s">
        <v>299</v>
      </c>
      <c r="BU34" s="456"/>
      <c r="BV34" s="456"/>
      <c r="BW34" s="456"/>
      <c r="BX34" s="456"/>
      <c r="BY34" s="457"/>
      <c r="BZ34" s="298"/>
      <c r="CA34" s="455" t="s">
        <v>299</v>
      </c>
      <c r="CB34" s="456"/>
      <c r="CC34" s="456"/>
      <c r="CD34" s="456"/>
      <c r="CE34" s="456"/>
      <c r="CF34" s="457"/>
      <c r="CG34" s="298"/>
      <c r="CH34" s="455" t="s">
        <v>299</v>
      </c>
      <c r="CI34" s="456"/>
      <c r="CJ34" s="456"/>
      <c r="CK34" s="456"/>
      <c r="CL34" s="456"/>
      <c r="CM34" s="457"/>
      <c r="CN34" s="298"/>
      <c r="CO34" s="455" t="s">
        <v>299</v>
      </c>
      <c r="CP34" s="456"/>
      <c r="CQ34" s="456"/>
      <c r="CR34" s="456"/>
      <c r="CS34" s="456"/>
      <c r="CT34" s="457"/>
      <c r="CU34" s="298"/>
      <c r="CV34" s="455" t="s">
        <v>299</v>
      </c>
      <c r="CW34" s="456"/>
      <c r="CX34" s="456"/>
      <c r="CY34" s="456"/>
      <c r="CZ34" s="456"/>
      <c r="DA34" s="457"/>
      <c r="DB34" s="298"/>
      <c r="DC34" s="455" t="s">
        <v>299</v>
      </c>
      <c r="DD34" s="456"/>
      <c r="DE34" s="456"/>
      <c r="DF34" s="456"/>
      <c r="DG34" s="456"/>
      <c r="DH34" s="457"/>
      <c r="DI34" s="298"/>
      <c r="DJ34" s="455" t="s">
        <v>299</v>
      </c>
      <c r="DK34" s="456"/>
      <c r="DL34" s="456"/>
      <c r="DM34" s="456"/>
      <c r="DN34" s="456"/>
      <c r="DO34" s="457"/>
      <c r="DP34" s="298"/>
      <c r="DQ34" s="455" t="s">
        <v>299</v>
      </c>
      <c r="DR34" s="456"/>
      <c r="DS34" s="456"/>
      <c r="DT34" s="456"/>
      <c r="DU34" s="456"/>
      <c r="DV34" s="457"/>
      <c r="DX34" s="455" t="s">
        <v>299</v>
      </c>
      <c r="DY34" s="456"/>
      <c r="DZ34" s="456"/>
      <c r="EA34" s="456"/>
      <c r="EB34" s="456"/>
      <c r="EC34" s="457"/>
      <c r="ED34" s="298"/>
      <c r="EE34" s="471" t="s">
        <v>350</v>
      </c>
      <c r="EF34" s="472"/>
      <c r="EG34" s="472"/>
      <c r="EH34" s="472"/>
      <c r="EI34" s="472"/>
      <c r="EJ34" s="473"/>
      <c r="EK34" s="298"/>
      <c r="EL34" s="471" t="s">
        <v>350</v>
      </c>
      <c r="EM34" s="472"/>
      <c r="EN34" s="472"/>
      <c r="EO34" s="472"/>
      <c r="EP34" s="472"/>
      <c r="EQ34" s="473"/>
      <c r="ER34" s="298"/>
      <c r="ES34" s="455" t="s">
        <v>299</v>
      </c>
      <c r="ET34" s="456"/>
      <c r="EU34" s="456"/>
      <c r="EV34" s="456"/>
      <c r="EW34" s="456"/>
      <c r="EX34" s="457"/>
      <c r="EY34" s="298"/>
      <c r="EZ34" s="455" t="s">
        <v>299</v>
      </c>
      <c r="FA34" s="456"/>
      <c r="FB34" s="456"/>
      <c r="FC34" s="456"/>
      <c r="FD34" s="456"/>
      <c r="FE34" s="457"/>
      <c r="FF34" s="298"/>
      <c r="FG34" s="455" t="s">
        <v>299</v>
      </c>
      <c r="FH34" s="456"/>
      <c r="FI34" s="456"/>
      <c r="FJ34" s="456"/>
      <c r="FK34" s="456"/>
      <c r="FL34" s="457"/>
      <c r="FM34" s="298"/>
      <c r="FN34" s="455" t="s">
        <v>299</v>
      </c>
      <c r="FO34" s="456"/>
      <c r="FP34" s="456"/>
      <c r="FQ34" s="456"/>
      <c r="FR34" s="456"/>
      <c r="FS34" s="457"/>
      <c r="FT34" s="356"/>
      <c r="FU34" s="455" t="s">
        <v>299</v>
      </c>
      <c r="FV34" s="456"/>
      <c r="FW34" s="456"/>
      <c r="FX34" s="456"/>
      <c r="FY34" s="456"/>
      <c r="FZ34" s="457"/>
      <c r="GA34" s="298"/>
      <c r="GB34" s="455" t="s">
        <v>299</v>
      </c>
      <c r="GC34" s="456"/>
      <c r="GD34" s="456"/>
      <c r="GE34" s="456"/>
      <c r="GF34" s="456"/>
      <c r="GG34" s="457"/>
    </row>
    <row r="35" spans="2:189" ht="15.75" thickBot="1">
      <c r="B35" s="458" t="s">
        <v>314</v>
      </c>
      <c r="C35" s="460" t="s">
        <v>257</v>
      </c>
      <c r="D35" s="462" t="s">
        <v>315</v>
      </c>
      <c r="E35" s="463"/>
      <c r="F35" s="460" t="s">
        <v>103</v>
      </c>
      <c r="G35" s="466" t="s">
        <v>258</v>
      </c>
      <c r="H35" s="298"/>
      <c r="I35" s="458" t="s">
        <v>316</v>
      </c>
      <c r="J35" s="460" t="s">
        <v>257</v>
      </c>
      <c r="K35" s="462" t="s">
        <v>315</v>
      </c>
      <c r="L35" s="463"/>
      <c r="M35" s="460" t="s">
        <v>103</v>
      </c>
      <c r="N35" s="466" t="s">
        <v>258</v>
      </c>
      <c r="O35" s="298"/>
      <c r="P35" s="459"/>
      <c r="Q35" s="461"/>
      <c r="R35" s="464"/>
      <c r="S35" s="465"/>
      <c r="T35" s="461"/>
      <c r="U35" s="467"/>
      <c r="V35" s="298"/>
      <c r="W35" s="458" t="s">
        <v>318</v>
      </c>
      <c r="X35" s="460" t="s">
        <v>257</v>
      </c>
      <c r="Y35" s="462" t="s">
        <v>315</v>
      </c>
      <c r="Z35" s="463"/>
      <c r="AA35" s="460" t="s">
        <v>103</v>
      </c>
      <c r="AB35" s="466" t="s">
        <v>258</v>
      </c>
      <c r="AC35" s="298"/>
      <c r="AD35" s="458" t="s">
        <v>319</v>
      </c>
      <c r="AE35" s="460" t="s">
        <v>257</v>
      </c>
      <c r="AF35" s="462" t="s">
        <v>315</v>
      </c>
      <c r="AG35" s="463"/>
      <c r="AH35" s="460" t="s">
        <v>103</v>
      </c>
      <c r="AI35" s="466" t="s">
        <v>258</v>
      </c>
      <c r="AJ35" s="298"/>
      <c r="AK35" s="458" t="s">
        <v>320</v>
      </c>
      <c r="AL35" s="460" t="s">
        <v>257</v>
      </c>
      <c r="AM35" s="462" t="s">
        <v>315</v>
      </c>
      <c r="AN35" s="463"/>
      <c r="AO35" s="460" t="s">
        <v>103</v>
      </c>
      <c r="AP35" s="466" t="s">
        <v>258</v>
      </c>
      <c r="AQ35" s="298"/>
      <c r="AR35" s="455" t="s">
        <v>299</v>
      </c>
      <c r="AS35" s="456"/>
      <c r="AT35" s="456"/>
      <c r="AU35" s="456"/>
      <c r="AV35" s="456"/>
      <c r="AW35" s="457"/>
      <c r="AX35" s="298"/>
      <c r="AY35" s="306" t="s">
        <v>324</v>
      </c>
      <c r="AZ35" s="307" t="s">
        <v>262</v>
      </c>
      <c r="BA35" s="336">
        <v>5</v>
      </c>
      <c r="BB35" s="337" t="s">
        <v>263</v>
      </c>
      <c r="BC35" s="308">
        <f>BC23</f>
        <v>40.84086</v>
      </c>
      <c r="BD35" s="338" t="s">
        <v>3</v>
      </c>
      <c r="BE35" s="298"/>
      <c r="BF35" s="458" t="s">
        <v>323</v>
      </c>
      <c r="BG35" s="460" t="s">
        <v>257</v>
      </c>
      <c r="BH35" s="462" t="s">
        <v>315</v>
      </c>
      <c r="BI35" s="463"/>
      <c r="BJ35" s="460" t="s">
        <v>103</v>
      </c>
      <c r="BK35" s="466" t="s">
        <v>258</v>
      </c>
      <c r="BM35" s="458" t="s">
        <v>361</v>
      </c>
      <c r="BN35" s="460" t="s">
        <v>257</v>
      </c>
      <c r="BO35" s="462" t="s">
        <v>315</v>
      </c>
      <c r="BP35" s="463"/>
      <c r="BQ35" s="460" t="s">
        <v>103</v>
      </c>
      <c r="BR35" s="466" t="s">
        <v>258</v>
      </c>
      <c r="BS35" s="298"/>
      <c r="BT35" s="458" t="s">
        <v>360</v>
      </c>
      <c r="BU35" s="460" t="s">
        <v>257</v>
      </c>
      <c r="BV35" s="462" t="s">
        <v>315</v>
      </c>
      <c r="BW35" s="463"/>
      <c r="BX35" s="460" t="s">
        <v>103</v>
      </c>
      <c r="BY35" s="466" t="s">
        <v>258</v>
      </c>
      <c r="BZ35" s="298"/>
      <c r="CA35" s="458" t="s">
        <v>359</v>
      </c>
      <c r="CB35" s="460" t="s">
        <v>257</v>
      </c>
      <c r="CC35" s="462" t="s">
        <v>315</v>
      </c>
      <c r="CD35" s="463"/>
      <c r="CE35" s="460" t="s">
        <v>103</v>
      </c>
      <c r="CF35" s="466" t="s">
        <v>258</v>
      </c>
      <c r="CG35" s="298"/>
      <c r="CH35" s="458" t="s">
        <v>358</v>
      </c>
      <c r="CI35" s="460" t="s">
        <v>257</v>
      </c>
      <c r="CJ35" s="462" t="s">
        <v>315</v>
      </c>
      <c r="CK35" s="463"/>
      <c r="CL35" s="460" t="s">
        <v>103</v>
      </c>
      <c r="CM35" s="466" t="s">
        <v>258</v>
      </c>
      <c r="CN35" s="298"/>
      <c r="CO35" s="500" t="s">
        <v>357</v>
      </c>
      <c r="CP35" s="493" t="s">
        <v>257</v>
      </c>
      <c r="CQ35" s="462" t="s">
        <v>315</v>
      </c>
      <c r="CR35" s="463"/>
      <c r="CS35" s="493" t="s">
        <v>103</v>
      </c>
      <c r="CT35" s="495" t="s">
        <v>258</v>
      </c>
      <c r="CU35" s="298"/>
      <c r="CV35" s="500" t="s">
        <v>356</v>
      </c>
      <c r="CW35" s="493" t="s">
        <v>257</v>
      </c>
      <c r="CX35" s="462" t="s">
        <v>315</v>
      </c>
      <c r="CY35" s="463"/>
      <c r="CZ35" s="493" t="s">
        <v>103</v>
      </c>
      <c r="DA35" s="495" t="s">
        <v>258</v>
      </c>
      <c r="DB35" s="298"/>
      <c r="DC35" s="500" t="s">
        <v>376</v>
      </c>
      <c r="DD35" s="493" t="s">
        <v>257</v>
      </c>
      <c r="DE35" s="462" t="s">
        <v>315</v>
      </c>
      <c r="DF35" s="463"/>
      <c r="DG35" s="493" t="s">
        <v>103</v>
      </c>
      <c r="DH35" s="495" t="s">
        <v>258</v>
      </c>
      <c r="DI35" s="298"/>
      <c r="DJ35" s="500" t="s">
        <v>354</v>
      </c>
      <c r="DK35" s="493" t="s">
        <v>257</v>
      </c>
      <c r="DL35" s="462" t="s">
        <v>315</v>
      </c>
      <c r="DM35" s="463"/>
      <c r="DN35" s="493" t="s">
        <v>103</v>
      </c>
      <c r="DO35" s="495" t="s">
        <v>258</v>
      </c>
      <c r="DP35" s="298"/>
      <c r="DQ35" s="500" t="s">
        <v>355</v>
      </c>
      <c r="DR35" s="493" t="s">
        <v>257</v>
      </c>
      <c r="DS35" s="462" t="s">
        <v>315</v>
      </c>
      <c r="DT35" s="463"/>
      <c r="DU35" s="493" t="s">
        <v>103</v>
      </c>
      <c r="DV35" s="495" t="s">
        <v>258</v>
      </c>
      <c r="DX35" s="458" t="s">
        <v>391</v>
      </c>
      <c r="DY35" s="460" t="s">
        <v>257</v>
      </c>
      <c r="DZ35" s="462" t="s">
        <v>315</v>
      </c>
      <c r="EA35" s="463"/>
      <c r="EB35" s="460" t="s">
        <v>103</v>
      </c>
      <c r="EC35" s="466" t="s">
        <v>258</v>
      </c>
      <c r="ED35" s="298"/>
      <c r="EE35" s="443" t="s">
        <v>363</v>
      </c>
      <c r="EF35" s="444"/>
      <c r="EG35" s="444"/>
      <c r="EH35" s="445"/>
      <c r="EI35" s="304">
        <v>0</v>
      </c>
      <c r="EJ35" s="321" t="s">
        <v>3</v>
      </c>
      <c r="EK35" s="298"/>
      <c r="EL35" s="443" t="s">
        <v>363</v>
      </c>
      <c r="EM35" s="444"/>
      <c r="EN35" s="444"/>
      <c r="EO35" s="445"/>
      <c r="EP35" s="304">
        <v>0</v>
      </c>
      <c r="EQ35" s="321" t="s">
        <v>3</v>
      </c>
      <c r="ER35" s="298"/>
      <c r="ES35" s="458" t="s">
        <v>344</v>
      </c>
      <c r="ET35" s="460" t="s">
        <v>257</v>
      </c>
      <c r="EU35" s="462" t="s">
        <v>315</v>
      </c>
      <c r="EV35" s="463"/>
      <c r="EW35" s="460" t="s">
        <v>103</v>
      </c>
      <c r="EX35" s="466" t="s">
        <v>258</v>
      </c>
      <c r="EY35" s="298"/>
      <c r="EZ35" s="458" t="s">
        <v>345</v>
      </c>
      <c r="FA35" s="460" t="s">
        <v>257</v>
      </c>
      <c r="FB35" s="462" t="s">
        <v>315</v>
      </c>
      <c r="FC35" s="463"/>
      <c r="FD35" s="460" t="s">
        <v>103</v>
      </c>
      <c r="FE35" s="466" t="s">
        <v>258</v>
      </c>
      <c r="FF35" s="298"/>
      <c r="FG35" s="458" t="s">
        <v>346</v>
      </c>
      <c r="FH35" s="460" t="s">
        <v>257</v>
      </c>
      <c r="FI35" s="462" t="s">
        <v>315</v>
      </c>
      <c r="FJ35" s="463"/>
      <c r="FK35" s="460" t="s">
        <v>103</v>
      </c>
      <c r="FL35" s="466" t="s">
        <v>258</v>
      </c>
      <c r="FM35" s="298"/>
      <c r="FN35" s="500" t="s">
        <v>347</v>
      </c>
      <c r="FO35" s="493" t="s">
        <v>257</v>
      </c>
      <c r="FP35" s="462" t="s">
        <v>315</v>
      </c>
      <c r="FQ35" s="463"/>
      <c r="FR35" s="460" t="s">
        <v>103</v>
      </c>
      <c r="FS35" s="466" t="s">
        <v>258</v>
      </c>
      <c r="FT35" s="315"/>
      <c r="FU35" s="458" t="s">
        <v>348</v>
      </c>
      <c r="FV35" s="460" t="s">
        <v>257</v>
      </c>
      <c r="FW35" s="462" t="s">
        <v>315</v>
      </c>
      <c r="FX35" s="463"/>
      <c r="FY35" s="460" t="s">
        <v>103</v>
      </c>
      <c r="FZ35" s="466" t="s">
        <v>258</v>
      </c>
      <c r="GA35" s="298"/>
      <c r="GB35" s="458" t="s">
        <v>314</v>
      </c>
      <c r="GC35" s="460" t="s">
        <v>257</v>
      </c>
      <c r="GD35" s="462" t="s">
        <v>315</v>
      </c>
      <c r="GE35" s="463"/>
      <c r="GF35" s="460" t="s">
        <v>103</v>
      </c>
      <c r="GG35" s="466" t="s">
        <v>258</v>
      </c>
    </row>
    <row r="36" spans="2:189" ht="15.75" customHeight="1" thickBot="1">
      <c r="B36" s="459"/>
      <c r="C36" s="461"/>
      <c r="D36" s="464"/>
      <c r="E36" s="465"/>
      <c r="F36" s="461"/>
      <c r="G36" s="467"/>
      <c r="H36" s="298"/>
      <c r="I36" s="459"/>
      <c r="J36" s="461"/>
      <c r="K36" s="464"/>
      <c r="L36" s="465"/>
      <c r="M36" s="461"/>
      <c r="N36" s="467"/>
      <c r="O36" s="298"/>
      <c r="P36" s="306" t="s">
        <v>324</v>
      </c>
      <c r="Q36" s="307" t="s">
        <v>262</v>
      </c>
      <c r="R36" s="336">
        <v>5</v>
      </c>
      <c r="S36" s="337" t="s">
        <v>263</v>
      </c>
      <c r="T36" s="308">
        <f>T24</f>
        <v>44.58205999999999</v>
      </c>
      <c r="U36" s="338" t="s">
        <v>3</v>
      </c>
      <c r="V36" s="298"/>
      <c r="W36" s="459"/>
      <c r="X36" s="461"/>
      <c r="Y36" s="464"/>
      <c r="Z36" s="465"/>
      <c r="AA36" s="461"/>
      <c r="AB36" s="467"/>
      <c r="AC36" s="298"/>
      <c r="AD36" s="459"/>
      <c r="AE36" s="461"/>
      <c r="AF36" s="464"/>
      <c r="AG36" s="465"/>
      <c r="AH36" s="461"/>
      <c r="AI36" s="467"/>
      <c r="AJ36" s="298"/>
      <c r="AK36" s="459"/>
      <c r="AL36" s="461"/>
      <c r="AM36" s="464"/>
      <c r="AN36" s="465"/>
      <c r="AO36" s="461"/>
      <c r="AP36" s="467"/>
      <c r="AQ36" s="298"/>
      <c r="AR36" s="458" t="s">
        <v>321</v>
      </c>
      <c r="AS36" s="460" t="s">
        <v>257</v>
      </c>
      <c r="AT36" s="462" t="s">
        <v>315</v>
      </c>
      <c r="AU36" s="463"/>
      <c r="AV36" s="460" t="s">
        <v>103</v>
      </c>
      <c r="AW36" s="466" t="s">
        <v>258</v>
      </c>
      <c r="AX36" s="298"/>
      <c r="AY36" s="306" t="s">
        <v>370</v>
      </c>
      <c r="AZ36" s="307" t="s">
        <v>262</v>
      </c>
      <c r="BA36" s="336">
        <v>5</v>
      </c>
      <c r="BB36" s="337" t="s">
        <v>263</v>
      </c>
      <c r="BC36" s="308">
        <f>BC28</f>
        <v>40.84086</v>
      </c>
      <c r="BD36" s="338" t="s">
        <v>3</v>
      </c>
      <c r="BE36" s="298"/>
      <c r="BF36" s="459"/>
      <c r="BG36" s="461"/>
      <c r="BH36" s="464"/>
      <c r="BI36" s="465"/>
      <c r="BJ36" s="461"/>
      <c r="BK36" s="467"/>
      <c r="BM36" s="459"/>
      <c r="BN36" s="461"/>
      <c r="BO36" s="464"/>
      <c r="BP36" s="465"/>
      <c r="BQ36" s="461"/>
      <c r="BR36" s="467"/>
      <c r="BS36" s="298"/>
      <c r="BT36" s="459"/>
      <c r="BU36" s="461"/>
      <c r="BV36" s="464"/>
      <c r="BW36" s="465"/>
      <c r="BX36" s="461"/>
      <c r="BY36" s="467"/>
      <c r="BZ36" s="298"/>
      <c r="CA36" s="459"/>
      <c r="CB36" s="461"/>
      <c r="CC36" s="464"/>
      <c r="CD36" s="465"/>
      <c r="CE36" s="461"/>
      <c r="CF36" s="467"/>
      <c r="CG36" s="298"/>
      <c r="CH36" s="459"/>
      <c r="CI36" s="461"/>
      <c r="CJ36" s="464"/>
      <c r="CK36" s="465"/>
      <c r="CL36" s="461"/>
      <c r="CM36" s="467"/>
      <c r="CN36" s="298"/>
      <c r="CO36" s="501"/>
      <c r="CP36" s="494"/>
      <c r="CQ36" s="464"/>
      <c r="CR36" s="465"/>
      <c r="CS36" s="494"/>
      <c r="CT36" s="496"/>
      <c r="CU36" s="298"/>
      <c r="CV36" s="501"/>
      <c r="CW36" s="494"/>
      <c r="CX36" s="464"/>
      <c r="CY36" s="465"/>
      <c r="CZ36" s="494"/>
      <c r="DA36" s="496"/>
      <c r="DB36" s="298"/>
      <c r="DC36" s="501"/>
      <c r="DD36" s="494"/>
      <c r="DE36" s="464"/>
      <c r="DF36" s="465"/>
      <c r="DG36" s="494"/>
      <c r="DH36" s="496"/>
      <c r="DI36" s="298"/>
      <c r="DJ36" s="501"/>
      <c r="DK36" s="494"/>
      <c r="DL36" s="464"/>
      <c r="DM36" s="465"/>
      <c r="DN36" s="494"/>
      <c r="DO36" s="496"/>
      <c r="DP36" s="298"/>
      <c r="DQ36" s="501"/>
      <c r="DR36" s="494"/>
      <c r="DS36" s="464"/>
      <c r="DT36" s="465"/>
      <c r="DU36" s="494"/>
      <c r="DV36" s="496"/>
      <c r="DX36" s="459"/>
      <c r="DY36" s="461"/>
      <c r="DZ36" s="464"/>
      <c r="EA36" s="465"/>
      <c r="EB36" s="461"/>
      <c r="EC36" s="467"/>
      <c r="ED36" s="298"/>
      <c r="EE36" s="443" t="s">
        <v>312</v>
      </c>
      <c r="EF36" s="444"/>
      <c r="EG36" s="444"/>
      <c r="EH36" s="445"/>
      <c r="EI36" s="334">
        <f>EI13</f>
        <v>25.293029999999998</v>
      </c>
      <c r="EJ36" s="321" t="s">
        <v>3</v>
      </c>
      <c r="EK36" s="298"/>
      <c r="EL36" s="443" t="s">
        <v>312</v>
      </c>
      <c r="EM36" s="444"/>
      <c r="EN36" s="444"/>
      <c r="EO36" s="445"/>
      <c r="EP36" s="334">
        <f>EP12</f>
        <v>21.941059999999997</v>
      </c>
      <c r="EQ36" s="321" t="s">
        <v>3</v>
      </c>
      <c r="ER36" s="298"/>
      <c r="ES36" s="459"/>
      <c r="ET36" s="461"/>
      <c r="EU36" s="464"/>
      <c r="EV36" s="465"/>
      <c r="EW36" s="461"/>
      <c r="EX36" s="467"/>
      <c r="EY36" s="298"/>
      <c r="EZ36" s="459"/>
      <c r="FA36" s="461"/>
      <c r="FB36" s="464"/>
      <c r="FC36" s="465"/>
      <c r="FD36" s="461"/>
      <c r="FE36" s="467"/>
      <c r="FF36" s="298"/>
      <c r="FG36" s="459"/>
      <c r="FH36" s="461"/>
      <c r="FI36" s="464"/>
      <c r="FJ36" s="465"/>
      <c r="FK36" s="461"/>
      <c r="FL36" s="467"/>
      <c r="FM36" s="298"/>
      <c r="FN36" s="501"/>
      <c r="FO36" s="494"/>
      <c r="FP36" s="464"/>
      <c r="FQ36" s="465"/>
      <c r="FR36" s="461"/>
      <c r="FS36" s="467"/>
      <c r="FT36" s="358"/>
      <c r="FU36" s="459"/>
      <c r="FV36" s="461"/>
      <c r="FW36" s="464"/>
      <c r="FX36" s="465"/>
      <c r="FY36" s="461"/>
      <c r="FZ36" s="467"/>
      <c r="GA36" s="298"/>
      <c r="GB36" s="459"/>
      <c r="GC36" s="461"/>
      <c r="GD36" s="464"/>
      <c r="GE36" s="465"/>
      <c r="GF36" s="461"/>
      <c r="GG36" s="467"/>
    </row>
    <row r="37" spans="2:189" ht="15.75" customHeight="1" thickBot="1">
      <c r="B37" s="306" t="s">
        <v>324</v>
      </c>
      <c r="C37" s="307" t="s">
        <v>262</v>
      </c>
      <c r="D37" s="336">
        <v>5</v>
      </c>
      <c r="E37" s="337" t="s">
        <v>263</v>
      </c>
      <c r="F37" s="308">
        <f>F25</f>
        <v>43.64894999999999</v>
      </c>
      <c r="G37" s="338" t="s">
        <v>3</v>
      </c>
      <c r="H37" s="298"/>
      <c r="I37" s="306" t="s">
        <v>324</v>
      </c>
      <c r="J37" s="307" t="s">
        <v>262</v>
      </c>
      <c r="K37" s="336">
        <v>5</v>
      </c>
      <c r="L37" s="337" t="s">
        <v>263</v>
      </c>
      <c r="M37" s="308">
        <f>M25</f>
        <v>18.250439999999998</v>
      </c>
      <c r="N37" s="338" t="s">
        <v>3</v>
      </c>
      <c r="O37" s="298"/>
      <c r="P37" s="306" t="s">
        <v>370</v>
      </c>
      <c r="Q37" s="307" t="s">
        <v>262</v>
      </c>
      <c r="R37" s="336">
        <v>5</v>
      </c>
      <c r="S37" s="337" t="s">
        <v>263</v>
      </c>
      <c r="T37" s="308">
        <f>T29</f>
        <v>44.58205999999999</v>
      </c>
      <c r="U37" s="338" t="s">
        <v>3</v>
      </c>
      <c r="V37" s="298"/>
      <c r="W37" s="306" t="s">
        <v>324</v>
      </c>
      <c r="X37" s="307" t="s">
        <v>262</v>
      </c>
      <c r="Y37" s="336">
        <v>5</v>
      </c>
      <c r="Z37" s="337" t="s">
        <v>263</v>
      </c>
      <c r="AA37" s="308">
        <f>AA25</f>
        <v>35.18339</v>
      </c>
      <c r="AB37" s="338" t="s">
        <v>3</v>
      </c>
      <c r="AC37" s="298"/>
      <c r="AD37" s="306" t="s">
        <v>324</v>
      </c>
      <c r="AE37" s="307" t="s">
        <v>262</v>
      </c>
      <c r="AF37" s="336">
        <v>5</v>
      </c>
      <c r="AG37" s="337" t="s">
        <v>263</v>
      </c>
      <c r="AH37" s="308">
        <f>AH25</f>
        <v>30.69419</v>
      </c>
      <c r="AI37" s="338" t="s">
        <v>3</v>
      </c>
      <c r="AJ37" s="298"/>
      <c r="AK37" s="306" t="s">
        <v>324</v>
      </c>
      <c r="AL37" s="307" t="s">
        <v>262</v>
      </c>
      <c r="AM37" s="336">
        <v>5</v>
      </c>
      <c r="AN37" s="337" t="s">
        <v>263</v>
      </c>
      <c r="AO37" s="308">
        <f>AO25</f>
        <v>26.229479999999995</v>
      </c>
      <c r="AP37" s="338" t="s">
        <v>3</v>
      </c>
      <c r="AQ37" s="298"/>
      <c r="AR37" s="459"/>
      <c r="AS37" s="461"/>
      <c r="AT37" s="464"/>
      <c r="AU37" s="465"/>
      <c r="AV37" s="461"/>
      <c r="AW37" s="467"/>
      <c r="AX37" s="298"/>
      <c r="AY37" s="434" t="s">
        <v>270</v>
      </c>
      <c r="AZ37" s="435"/>
      <c r="BA37" s="435"/>
      <c r="BB37" s="436"/>
      <c r="BC37" s="309">
        <f>SUM(BC35:BC36)</f>
        <v>81.68172</v>
      </c>
      <c r="BD37" s="339" t="s">
        <v>271</v>
      </c>
      <c r="BE37" s="298"/>
      <c r="BF37" s="306" t="s">
        <v>324</v>
      </c>
      <c r="BG37" s="307" t="s">
        <v>262</v>
      </c>
      <c r="BH37" s="336">
        <v>5</v>
      </c>
      <c r="BI37" s="337" t="s">
        <v>263</v>
      </c>
      <c r="BJ37" s="308">
        <f>BJ25</f>
        <v>61.936910000000005</v>
      </c>
      <c r="BK37" s="338" t="s">
        <v>3</v>
      </c>
      <c r="BM37" s="306" t="s">
        <v>324</v>
      </c>
      <c r="BN37" s="307" t="s">
        <v>262</v>
      </c>
      <c r="BO37" s="336">
        <v>5</v>
      </c>
      <c r="BP37" s="337" t="s">
        <v>263</v>
      </c>
      <c r="BQ37" s="308">
        <f>BQ25</f>
        <v>31.785340000000005</v>
      </c>
      <c r="BR37" s="338" t="s">
        <v>3</v>
      </c>
      <c r="BS37" s="298"/>
      <c r="BT37" s="306" t="s">
        <v>324</v>
      </c>
      <c r="BU37" s="307" t="s">
        <v>262</v>
      </c>
      <c r="BV37" s="336">
        <v>5</v>
      </c>
      <c r="BW37" s="337" t="s">
        <v>263</v>
      </c>
      <c r="BX37" s="308">
        <f>BX25</f>
        <v>31.02581</v>
      </c>
      <c r="BY37" s="338" t="s">
        <v>3</v>
      </c>
      <c r="BZ37" s="298"/>
      <c r="CA37" s="306" t="s">
        <v>324</v>
      </c>
      <c r="CB37" s="307" t="s">
        <v>262</v>
      </c>
      <c r="CC37" s="336">
        <v>5</v>
      </c>
      <c r="CD37" s="337" t="s">
        <v>263</v>
      </c>
      <c r="CE37" s="308">
        <f>CE25</f>
        <v>36.38283</v>
      </c>
      <c r="CF37" s="338" t="s">
        <v>3</v>
      </c>
      <c r="CG37" s="298"/>
      <c r="CH37" s="306" t="s">
        <v>324</v>
      </c>
      <c r="CI37" s="307" t="s">
        <v>262</v>
      </c>
      <c r="CJ37" s="336">
        <v>5</v>
      </c>
      <c r="CK37" s="337" t="s">
        <v>263</v>
      </c>
      <c r="CL37" s="308">
        <f>CL25</f>
        <v>38.35566</v>
      </c>
      <c r="CM37" s="338" t="s">
        <v>3</v>
      </c>
      <c r="CN37" s="298"/>
      <c r="CO37" s="306" t="s">
        <v>324</v>
      </c>
      <c r="CP37" s="307" t="s">
        <v>262</v>
      </c>
      <c r="CQ37" s="336">
        <v>5</v>
      </c>
      <c r="CR37" s="337" t="s">
        <v>263</v>
      </c>
      <c r="CS37" s="308">
        <f>CS25</f>
        <v>52.85685</v>
      </c>
      <c r="CT37" s="338" t="s">
        <v>3</v>
      </c>
      <c r="CU37" s="298"/>
      <c r="CV37" s="306" t="s">
        <v>324</v>
      </c>
      <c r="CW37" s="307" t="s">
        <v>262</v>
      </c>
      <c r="CX37" s="336">
        <v>5</v>
      </c>
      <c r="CY37" s="337" t="s">
        <v>263</v>
      </c>
      <c r="CZ37" s="308">
        <f>CZ25</f>
        <v>54.54583</v>
      </c>
      <c r="DA37" s="338" t="s">
        <v>3</v>
      </c>
      <c r="DB37" s="298"/>
      <c r="DC37" s="306" t="s">
        <v>324</v>
      </c>
      <c r="DD37" s="307" t="s">
        <v>262</v>
      </c>
      <c r="DE37" s="336">
        <v>5</v>
      </c>
      <c r="DF37" s="337" t="s">
        <v>263</v>
      </c>
      <c r="DG37" s="308">
        <f>DG25</f>
        <v>49.98301</v>
      </c>
      <c r="DH37" s="338" t="s">
        <v>3</v>
      </c>
      <c r="DI37" s="298"/>
      <c r="DJ37" s="306" t="s">
        <v>324</v>
      </c>
      <c r="DK37" s="307" t="s">
        <v>262</v>
      </c>
      <c r="DL37" s="336">
        <v>5</v>
      </c>
      <c r="DM37" s="337" t="s">
        <v>263</v>
      </c>
      <c r="DN37" s="308">
        <f>DN25</f>
        <v>49.088359999999994</v>
      </c>
      <c r="DO37" s="338" t="s">
        <v>3</v>
      </c>
      <c r="DP37" s="298"/>
      <c r="DQ37" s="306" t="s">
        <v>366</v>
      </c>
      <c r="DR37" s="307" t="s">
        <v>262</v>
      </c>
      <c r="DS37" s="336">
        <v>5</v>
      </c>
      <c r="DT37" s="337" t="s">
        <v>263</v>
      </c>
      <c r="DU37" s="308">
        <f>DU25</f>
        <v>44.25878</v>
      </c>
      <c r="DV37" s="338" t="s">
        <v>3</v>
      </c>
      <c r="DX37" s="306" t="s">
        <v>366</v>
      </c>
      <c r="DY37" s="307" t="s">
        <v>262</v>
      </c>
      <c r="DZ37" s="336">
        <v>5</v>
      </c>
      <c r="EA37" s="337" t="s">
        <v>263</v>
      </c>
      <c r="EB37" s="308">
        <f>EB25</f>
        <v>61.936910000000005</v>
      </c>
      <c r="EC37" s="338" t="s">
        <v>3</v>
      </c>
      <c r="ED37" s="298"/>
      <c r="EE37" s="446" t="s">
        <v>281</v>
      </c>
      <c r="EF37" s="447"/>
      <c r="EG37" s="447"/>
      <c r="EH37" s="448"/>
      <c r="EI37" s="335">
        <f>SUM(EI35:EI36)</f>
        <v>25.293029999999998</v>
      </c>
      <c r="EJ37" s="333" t="s">
        <v>3</v>
      </c>
      <c r="EK37" s="298"/>
      <c r="EL37" s="446" t="s">
        <v>281</v>
      </c>
      <c r="EM37" s="447"/>
      <c r="EN37" s="447"/>
      <c r="EO37" s="448"/>
      <c r="EP37" s="335">
        <f>SUM(EP35:EP36)</f>
        <v>21.941059999999997</v>
      </c>
      <c r="EQ37" s="333" t="s">
        <v>3</v>
      </c>
      <c r="ER37" s="298"/>
      <c r="ES37" s="306" t="s">
        <v>324</v>
      </c>
      <c r="ET37" s="307" t="s">
        <v>262</v>
      </c>
      <c r="EU37" s="336">
        <v>5</v>
      </c>
      <c r="EV37" s="337" t="s">
        <v>263</v>
      </c>
      <c r="EW37" s="308">
        <f>EW25</f>
        <v>32.89824</v>
      </c>
      <c r="EX37" s="338" t="s">
        <v>3</v>
      </c>
      <c r="EY37" s="298"/>
      <c r="EZ37" s="306" t="s">
        <v>324</v>
      </c>
      <c r="FA37" s="307" t="s">
        <v>262</v>
      </c>
      <c r="FB37" s="336">
        <v>5</v>
      </c>
      <c r="FC37" s="337" t="s">
        <v>263</v>
      </c>
      <c r="FD37" s="308">
        <f>FD25</f>
        <v>58.120110000000004</v>
      </c>
      <c r="FE37" s="338" t="s">
        <v>3</v>
      </c>
      <c r="FF37" s="298"/>
      <c r="FG37" s="306" t="s">
        <v>324</v>
      </c>
      <c r="FH37" s="307" t="s">
        <v>262</v>
      </c>
      <c r="FI37" s="336">
        <v>5</v>
      </c>
      <c r="FJ37" s="337" t="s">
        <v>263</v>
      </c>
      <c r="FK37" s="308">
        <f>FK25</f>
        <v>43.20063</v>
      </c>
      <c r="FL37" s="338" t="s">
        <v>3</v>
      </c>
      <c r="FM37" s="298"/>
      <c r="FN37" s="306" t="s">
        <v>324</v>
      </c>
      <c r="FO37" s="307" t="s">
        <v>262</v>
      </c>
      <c r="FP37" s="336">
        <v>5</v>
      </c>
      <c r="FQ37" s="337" t="s">
        <v>263</v>
      </c>
      <c r="FR37" s="308">
        <f>FR25</f>
        <v>42.77301</v>
      </c>
      <c r="FS37" s="338" t="s">
        <v>3</v>
      </c>
      <c r="FT37" s="359"/>
      <c r="FU37" s="306" t="s">
        <v>366</v>
      </c>
      <c r="FV37" s="307" t="s">
        <v>262</v>
      </c>
      <c r="FW37" s="336">
        <v>5</v>
      </c>
      <c r="FX37" s="337" t="s">
        <v>263</v>
      </c>
      <c r="FY37" s="308">
        <f>FY25</f>
        <v>56.50036999999999</v>
      </c>
      <c r="FZ37" s="338" t="s">
        <v>3</v>
      </c>
      <c r="GA37" s="298"/>
      <c r="GB37" s="306" t="s">
        <v>480</v>
      </c>
      <c r="GC37" s="307" t="s">
        <v>262</v>
      </c>
      <c r="GD37" s="336">
        <v>5</v>
      </c>
      <c r="GE37" s="337" t="s">
        <v>263</v>
      </c>
      <c r="GF37" s="308">
        <f>GF25</f>
        <v>43.64894999999999</v>
      </c>
      <c r="GG37" s="338" t="s">
        <v>3</v>
      </c>
    </row>
    <row r="38" spans="2:189" ht="15.75" thickBot="1">
      <c r="B38" s="306" t="s">
        <v>370</v>
      </c>
      <c r="C38" s="307" t="s">
        <v>262</v>
      </c>
      <c r="D38" s="336">
        <v>5</v>
      </c>
      <c r="E38" s="337" t="s">
        <v>263</v>
      </c>
      <c r="F38" s="308">
        <f>F30</f>
        <v>43.64894999999999</v>
      </c>
      <c r="G38" s="338" t="s">
        <v>3</v>
      </c>
      <c r="H38" s="298"/>
      <c r="I38" s="306" t="s">
        <v>370</v>
      </c>
      <c r="J38" s="307" t="s">
        <v>262</v>
      </c>
      <c r="K38" s="336">
        <v>5</v>
      </c>
      <c r="L38" s="337" t="s">
        <v>263</v>
      </c>
      <c r="M38" s="308">
        <f>M30</f>
        <v>18.250439999999998</v>
      </c>
      <c r="N38" s="338" t="s">
        <v>3</v>
      </c>
      <c r="O38" s="298"/>
      <c r="P38" s="434" t="s">
        <v>270</v>
      </c>
      <c r="Q38" s="435"/>
      <c r="R38" s="435"/>
      <c r="S38" s="436"/>
      <c r="T38" s="309">
        <f>SUM(T36:T37)</f>
        <v>89.16411999999998</v>
      </c>
      <c r="U38" s="339" t="s">
        <v>271</v>
      </c>
      <c r="V38" s="298"/>
      <c r="W38" s="306" t="s">
        <v>370</v>
      </c>
      <c r="X38" s="307" t="s">
        <v>262</v>
      </c>
      <c r="Y38" s="336">
        <v>5</v>
      </c>
      <c r="Z38" s="337" t="s">
        <v>263</v>
      </c>
      <c r="AA38" s="308">
        <f>AA30</f>
        <v>35.18339</v>
      </c>
      <c r="AB38" s="338" t="s">
        <v>3</v>
      </c>
      <c r="AC38" s="298"/>
      <c r="AD38" s="306" t="s">
        <v>370</v>
      </c>
      <c r="AE38" s="307" t="s">
        <v>262</v>
      </c>
      <c r="AF38" s="336">
        <v>5</v>
      </c>
      <c r="AG38" s="337" t="s">
        <v>263</v>
      </c>
      <c r="AH38" s="308">
        <f>AH30</f>
        <v>30.69419</v>
      </c>
      <c r="AI38" s="338" t="s">
        <v>3</v>
      </c>
      <c r="AJ38" s="298"/>
      <c r="AK38" s="306" t="s">
        <v>370</v>
      </c>
      <c r="AL38" s="307" t="s">
        <v>262</v>
      </c>
      <c r="AM38" s="336">
        <v>5</v>
      </c>
      <c r="AN38" s="337" t="s">
        <v>263</v>
      </c>
      <c r="AO38" s="308">
        <f>AO30</f>
        <v>26.229479999999995</v>
      </c>
      <c r="AP38" s="338" t="s">
        <v>3</v>
      </c>
      <c r="AQ38" s="298"/>
      <c r="AR38" s="306" t="s">
        <v>324</v>
      </c>
      <c r="AS38" s="307" t="s">
        <v>262</v>
      </c>
      <c r="AT38" s="336">
        <v>5</v>
      </c>
      <c r="AU38" s="337" t="s">
        <v>263</v>
      </c>
      <c r="AV38" s="308">
        <f>AV26</f>
        <v>28.714490000000005</v>
      </c>
      <c r="AW38" s="338" t="s">
        <v>3</v>
      </c>
      <c r="AX38" s="298"/>
      <c r="AY38" s="437" t="s">
        <v>274</v>
      </c>
      <c r="AZ38" s="438"/>
      <c r="BA38" s="438"/>
      <c r="BB38" s="439"/>
      <c r="BC38" s="310">
        <f>BC37*BA36</f>
        <v>408.4086</v>
      </c>
      <c r="BD38" s="340" t="s">
        <v>271</v>
      </c>
      <c r="BE38" s="298"/>
      <c r="BF38" s="306" t="s">
        <v>370</v>
      </c>
      <c r="BG38" s="307" t="s">
        <v>262</v>
      </c>
      <c r="BH38" s="336">
        <v>5</v>
      </c>
      <c r="BI38" s="337" t="s">
        <v>263</v>
      </c>
      <c r="BJ38" s="308">
        <f>BJ30</f>
        <v>61.936910000000005</v>
      </c>
      <c r="BK38" s="338" t="s">
        <v>3</v>
      </c>
      <c r="BM38" s="306" t="s">
        <v>370</v>
      </c>
      <c r="BN38" s="307" t="s">
        <v>262</v>
      </c>
      <c r="BO38" s="336">
        <v>5</v>
      </c>
      <c r="BP38" s="337" t="s">
        <v>263</v>
      </c>
      <c r="BQ38" s="308">
        <f>BQ30</f>
        <v>31.785340000000005</v>
      </c>
      <c r="BR38" s="338" t="s">
        <v>3</v>
      </c>
      <c r="BS38" s="298"/>
      <c r="BT38" s="306" t="s">
        <v>370</v>
      </c>
      <c r="BU38" s="307" t="s">
        <v>262</v>
      </c>
      <c r="BV38" s="336">
        <v>5</v>
      </c>
      <c r="BW38" s="337" t="s">
        <v>263</v>
      </c>
      <c r="BX38" s="308">
        <f>BX30</f>
        <v>31.02581</v>
      </c>
      <c r="BY38" s="338" t="s">
        <v>3</v>
      </c>
      <c r="BZ38" s="298"/>
      <c r="CA38" s="306" t="s">
        <v>370</v>
      </c>
      <c r="CB38" s="307" t="s">
        <v>262</v>
      </c>
      <c r="CC38" s="336">
        <v>5</v>
      </c>
      <c r="CD38" s="337" t="s">
        <v>263</v>
      </c>
      <c r="CE38" s="308">
        <f>CE30</f>
        <v>36.38283</v>
      </c>
      <c r="CF38" s="338" t="s">
        <v>3</v>
      </c>
      <c r="CG38" s="298"/>
      <c r="CH38" s="306" t="s">
        <v>370</v>
      </c>
      <c r="CI38" s="307" t="s">
        <v>262</v>
      </c>
      <c r="CJ38" s="336">
        <v>5</v>
      </c>
      <c r="CK38" s="337" t="s">
        <v>263</v>
      </c>
      <c r="CL38" s="308">
        <f>CL30</f>
        <v>38.35566</v>
      </c>
      <c r="CM38" s="338" t="s">
        <v>3</v>
      </c>
      <c r="CN38" s="298"/>
      <c r="CO38" s="306" t="s">
        <v>370</v>
      </c>
      <c r="CP38" s="307" t="s">
        <v>262</v>
      </c>
      <c r="CQ38" s="336">
        <v>5</v>
      </c>
      <c r="CR38" s="337" t="s">
        <v>263</v>
      </c>
      <c r="CS38" s="308">
        <f>CS30</f>
        <v>52.85685</v>
      </c>
      <c r="CT38" s="338" t="s">
        <v>3</v>
      </c>
      <c r="CU38" s="298"/>
      <c r="CV38" s="306" t="s">
        <v>367</v>
      </c>
      <c r="CW38" s="307" t="s">
        <v>262</v>
      </c>
      <c r="CX38" s="336">
        <v>5</v>
      </c>
      <c r="CY38" s="337" t="s">
        <v>263</v>
      </c>
      <c r="CZ38" s="308">
        <f>CZ30</f>
        <v>54.54583</v>
      </c>
      <c r="DA38" s="338" t="s">
        <v>3</v>
      </c>
      <c r="DB38" s="298"/>
      <c r="DC38" s="306" t="s">
        <v>370</v>
      </c>
      <c r="DD38" s="307" t="s">
        <v>262</v>
      </c>
      <c r="DE38" s="336">
        <v>5</v>
      </c>
      <c r="DF38" s="337" t="s">
        <v>263</v>
      </c>
      <c r="DG38" s="308">
        <f>DG30</f>
        <v>49.98301</v>
      </c>
      <c r="DH38" s="338" t="s">
        <v>3</v>
      </c>
      <c r="DI38" s="298"/>
      <c r="DJ38" s="306" t="s">
        <v>370</v>
      </c>
      <c r="DK38" s="307" t="s">
        <v>262</v>
      </c>
      <c r="DL38" s="336">
        <v>5</v>
      </c>
      <c r="DM38" s="337" t="s">
        <v>263</v>
      </c>
      <c r="DN38" s="308">
        <f>DN30</f>
        <v>49.088359999999994</v>
      </c>
      <c r="DO38" s="338" t="s">
        <v>3</v>
      </c>
      <c r="DP38" s="298"/>
      <c r="DQ38" s="306" t="s">
        <v>367</v>
      </c>
      <c r="DR38" s="307" t="s">
        <v>262</v>
      </c>
      <c r="DS38" s="336">
        <v>5</v>
      </c>
      <c r="DT38" s="337" t="s">
        <v>263</v>
      </c>
      <c r="DU38" s="308">
        <f>DU30</f>
        <v>44.25878</v>
      </c>
      <c r="DV38" s="338" t="s">
        <v>3</v>
      </c>
      <c r="DX38" s="306" t="s">
        <v>367</v>
      </c>
      <c r="DY38" s="307" t="s">
        <v>262</v>
      </c>
      <c r="DZ38" s="336">
        <v>5</v>
      </c>
      <c r="EA38" s="337" t="s">
        <v>263</v>
      </c>
      <c r="EB38" s="308">
        <f>EB30</f>
        <v>61.936910000000005</v>
      </c>
      <c r="EC38" s="338" t="s">
        <v>3</v>
      </c>
      <c r="ED38" s="298"/>
      <c r="EE38" s="364"/>
      <c r="EF38" s="365"/>
      <c r="EG38" s="365"/>
      <c r="EH38" s="365"/>
      <c r="EI38" s="365"/>
      <c r="EJ38" s="366"/>
      <c r="EK38" s="298"/>
      <c r="EL38" s="364"/>
      <c r="EM38" s="365"/>
      <c r="EN38" s="365"/>
      <c r="EO38" s="365"/>
      <c r="EP38" s="365"/>
      <c r="EQ38" s="366"/>
      <c r="ER38" s="298"/>
      <c r="ES38" s="306" t="s">
        <v>370</v>
      </c>
      <c r="ET38" s="307" t="s">
        <v>262</v>
      </c>
      <c r="EU38" s="336">
        <v>5</v>
      </c>
      <c r="EV38" s="337" t="s">
        <v>263</v>
      </c>
      <c r="EW38" s="308">
        <f>EW30</f>
        <v>32.89824</v>
      </c>
      <c r="EX38" s="338" t="s">
        <v>3</v>
      </c>
      <c r="EY38" s="298"/>
      <c r="EZ38" s="306" t="s">
        <v>370</v>
      </c>
      <c r="FA38" s="307" t="s">
        <v>262</v>
      </c>
      <c r="FB38" s="336">
        <v>5</v>
      </c>
      <c r="FC38" s="337" t="s">
        <v>263</v>
      </c>
      <c r="FD38" s="308">
        <f>FD30</f>
        <v>58.120110000000004</v>
      </c>
      <c r="FE38" s="338" t="s">
        <v>3</v>
      </c>
      <c r="FF38" s="298"/>
      <c r="FG38" s="306" t="s">
        <v>370</v>
      </c>
      <c r="FH38" s="307" t="s">
        <v>262</v>
      </c>
      <c r="FI38" s="336">
        <v>5</v>
      </c>
      <c r="FJ38" s="337" t="s">
        <v>263</v>
      </c>
      <c r="FK38" s="308">
        <f>FK30</f>
        <v>43.20063</v>
      </c>
      <c r="FL38" s="338" t="s">
        <v>3</v>
      </c>
      <c r="FM38" s="298"/>
      <c r="FN38" s="306" t="s">
        <v>370</v>
      </c>
      <c r="FO38" s="307" t="s">
        <v>262</v>
      </c>
      <c r="FP38" s="336">
        <v>5</v>
      </c>
      <c r="FQ38" s="337" t="s">
        <v>263</v>
      </c>
      <c r="FR38" s="308">
        <f>FR30</f>
        <v>42.77301</v>
      </c>
      <c r="FS38" s="338" t="s">
        <v>3</v>
      </c>
      <c r="FT38" s="357"/>
      <c r="FU38" s="306" t="s">
        <v>367</v>
      </c>
      <c r="FV38" s="307" t="s">
        <v>262</v>
      </c>
      <c r="FW38" s="336">
        <v>5</v>
      </c>
      <c r="FX38" s="337" t="s">
        <v>263</v>
      </c>
      <c r="FY38" s="308">
        <f>FY30</f>
        <v>56.50036999999999</v>
      </c>
      <c r="FZ38" s="338" t="s">
        <v>3</v>
      </c>
      <c r="GA38" s="298"/>
      <c r="GB38" s="306" t="s">
        <v>367</v>
      </c>
      <c r="GC38" s="307" t="s">
        <v>262</v>
      </c>
      <c r="GD38" s="336">
        <v>5</v>
      </c>
      <c r="GE38" s="337" t="s">
        <v>263</v>
      </c>
      <c r="GF38" s="308">
        <f>GF30</f>
        <v>43.64894999999999</v>
      </c>
      <c r="GG38" s="338" t="s">
        <v>3</v>
      </c>
    </row>
    <row r="39" spans="2:189" ht="15.75" customHeight="1" thickBot="1">
      <c r="B39" s="434" t="s">
        <v>270</v>
      </c>
      <c r="C39" s="435"/>
      <c r="D39" s="435"/>
      <c r="E39" s="436"/>
      <c r="F39" s="309">
        <f>SUM(F37:F38)</f>
        <v>87.29789999999998</v>
      </c>
      <c r="G39" s="339" t="s">
        <v>271</v>
      </c>
      <c r="H39" s="298"/>
      <c r="I39" s="434" t="s">
        <v>270</v>
      </c>
      <c r="J39" s="435"/>
      <c r="K39" s="435"/>
      <c r="L39" s="436"/>
      <c r="M39" s="309">
        <f>SUM(M37:M38)</f>
        <v>36.500879999999995</v>
      </c>
      <c r="N39" s="339" t="s">
        <v>271</v>
      </c>
      <c r="O39" s="298"/>
      <c r="P39" s="437" t="s">
        <v>274</v>
      </c>
      <c r="Q39" s="438"/>
      <c r="R39" s="438"/>
      <c r="S39" s="439"/>
      <c r="T39" s="310">
        <f>T38*R37</f>
        <v>445.8205999999999</v>
      </c>
      <c r="U39" s="340" t="s">
        <v>271</v>
      </c>
      <c r="V39" s="298"/>
      <c r="W39" s="434" t="s">
        <v>270</v>
      </c>
      <c r="X39" s="435"/>
      <c r="Y39" s="435"/>
      <c r="Z39" s="436"/>
      <c r="AA39" s="309">
        <f>SUM(AA37:AA38)</f>
        <v>70.36678</v>
      </c>
      <c r="AB39" s="339" t="s">
        <v>271</v>
      </c>
      <c r="AC39" s="298"/>
      <c r="AD39" s="434" t="s">
        <v>270</v>
      </c>
      <c r="AE39" s="435"/>
      <c r="AF39" s="435"/>
      <c r="AG39" s="436"/>
      <c r="AH39" s="309">
        <f>SUM(AH37:AH38)</f>
        <v>61.38838</v>
      </c>
      <c r="AI39" s="339" t="s">
        <v>271</v>
      </c>
      <c r="AJ39" s="298"/>
      <c r="AK39" s="434" t="s">
        <v>270</v>
      </c>
      <c r="AL39" s="435"/>
      <c r="AM39" s="435"/>
      <c r="AN39" s="436"/>
      <c r="AO39" s="309">
        <f>SUM(AO37:AO38)</f>
        <v>52.45895999999999</v>
      </c>
      <c r="AP39" s="339" t="s">
        <v>271</v>
      </c>
      <c r="AQ39" s="298"/>
      <c r="AR39" s="306" t="s">
        <v>370</v>
      </c>
      <c r="AS39" s="307" t="s">
        <v>262</v>
      </c>
      <c r="AT39" s="336">
        <v>5</v>
      </c>
      <c r="AU39" s="337" t="s">
        <v>263</v>
      </c>
      <c r="AV39" s="308">
        <f>AV31</f>
        <v>36.714490000000005</v>
      </c>
      <c r="AW39" s="338" t="s">
        <v>3</v>
      </c>
      <c r="AX39" s="298"/>
      <c r="AY39" s="440" t="s">
        <v>277</v>
      </c>
      <c r="AZ39" s="441"/>
      <c r="BA39" s="441"/>
      <c r="BB39" s="442"/>
      <c r="BC39" s="312">
        <f>BC37*20</f>
        <v>1633.6344</v>
      </c>
      <c r="BD39" s="341" t="s">
        <v>271</v>
      </c>
      <c r="BE39" s="298"/>
      <c r="BF39" s="434" t="s">
        <v>270</v>
      </c>
      <c r="BG39" s="435"/>
      <c r="BH39" s="435"/>
      <c r="BI39" s="436"/>
      <c r="BJ39" s="309">
        <f>SUM(BJ37:BJ38)</f>
        <v>123.87382000000001</v>
      </c>
      <c r="BK39" s="339" t="s">
        <v>271</v>
      </c>
      <c r="BM39" s="434" t="s">
        <v>270</v>
      </c>
      <c r="BN39" s="435"/>
      <c r="BO39" s="435"/>
      <c r="BP39" s="436"/>
      <c r="BQ39" s="309">
        <f>SUM(BQ37:BQ38)</f>
        <v>63.57068000000001</v>
      </c>
      <c r="BR39" s="339" t="s">
        <v>271</v>
      </c>
      <c r="BS39" s="298"/>
      <c r="BT39" s="434" t="s">
        <v>270</v>
      </c>
      <c r="BU39" s="435"/>
      <c r="BV39" s="435"/>
      <c r="BW39" s="436"/>
      <c r="BX39" s="309">
        <f>SUM(BX37:BX38)</f>
        <v>62.05162</v>
      </c>
      <c r="BY39" s="339" t="s">
        <v>271</v>
      </c>
      <c r="BZ39" s="298"/>
      <c r="CA39" s="434" t="s">
        <v>270</v>
      </c>
      <c r="CB39" s="435"/>
      <c r="CC39" s="435"/>
      <c r="CD39" s="436"/>
      <c r="CE39" s="309">
        <f>SUM(CE37:CE38)</f>
        <v>72.76566</v>
      </c>
      <c r="CF39" s="339" t="s">
        <v>271</v>
      </c>
      <c r="CG39" s="298"/>
      <c r="CH39" s="434" t="s">
        <v>270</v>
      </c>
      <c r="CI39" s="435"/>
      <c r="CJ39" s="435"/>
      <c r="CK39" s="436"/>
      <c r="CL39" s="309">
        <f>SUM(CL37:CL38)</f>
        <v>76.71132</v>
      </c>
      <c r="CM39" s="339" t="s">
        <v>271</v>
      </c>
      <c r="CN39" s="298"/>
      <c r="CO39" s="434" t="s">
        <v>270</v>
      </c>
      <c r="CP39" s="435"/>
      <c r="CQ39" s="435"/>
      <c r="CR39" s="436"/>
      <c r="CS39" s="309">
        <f>SUM(CS37:CS38)</f>
        <v>105.7137</v>
      </c>
      <c r="CT39" s="339" t="s">
        <v>271</v>
      </c>
      <c r="CU39" s="298"/>
      <c r="CV39" s="434" t="s">
        <v>270</v>
      </c>
      <c r="CW39" s="435"/>
      <c r="CX39" s="435"/>
      <c r="CY39" s="436"/>
      <c r="CZ39" s="309">
        <f>SUM(CZ37:CZ38)</f>
        <v>109.09166</v>
      </c>
      <c r="DA39" s="339" t="s">
        <v>271</v>
      </c>
      <c r="DB39" s="298"/>
      <c r="DC39" s="434" t="s">
        <v>270</v>
      </c>
      <c r="DD39" s="435"/>
      <c r="DE39" s="435"/>
      <c r="DF39" s="436"/>
      <c r="DG39" s="309">
        <f>SUM(DG37:DG38)</f>
        <v>99.96602</v>
      </c>
      <c r="DH39" s="339" t="s">
        <v>271</v>
      </c>
      <c r="DI39" s="298"/>
      <c r="DJ39" s="434" t="s">
        <v>270</v>
      </c>
      <c r="DK39" s="435"/>
      <c r="DL39" s="435"/>
      <c r="DM39" s="436"/>
      <c r="DN39" s="309">
        <f>SUM(DN37:DN38)</f>
        <v>98.17671999999999</v>
      </c>
      <c r="DO39" s="339" t="s">
        <v>271</v>
      </c>
      <c r="DP39" s="298"/>
      <c r="DQ39" s="434" t="s">
        <v>270</v>
      </c>
      <c r="DR39" s="435"/>
      <c r="DS39" s="435"/>
      <c r="DT39" s="436"/>
      <c r="DU39" s="309">
        <f>SUM(DU37:DU38)</f>
        <v>88.51756</v>
      </c>
      <c r="DV39" s="339" t="s">
        <v>271</v>
      </c>
      <c r="DX39" s="434" t="s">
        <v>270</v>
      </c>
      <c r="DY39" s="435"/>
      <c r="DZ39" s="435"/>
      <c r="EA39" s="436"/>
      <c r="EB39" s="309">
        <f>SUM(EB37:EB38)</f>
        <v>123.87382000000001</v>
      </c>
      <c r="EC39" s="339" t="s">
        <v>271</v>
      </c>
      <c r="ED39" s="298"/>
      <c r="EE39" s="449" t="s">
        <v>298</v>
      </c>
      <c r="EF39" s="450"/>
      <c r="EG39" s="450"/>
      <c r="EH39" s="450"/>
      <c r="EI39" s="450"/>
      <c r="EJ39" s="451"/>
      <c r="EK39" s="298"/>
      <c r="EL39" s="449" t="s">
        <v>298</v>
      </c>
      <c r="EM39" s="450"/>
      <c r="EN39" s="450"/>
      <c r="EO39" s="450"/>
      <c r="EP39" s="450"/>
      <c r="EQ39" s="451"/>
      <c r="ER39" s="298"/>
      <c r="ES39" s="434" t="s">
        <v>270</v>
      </c>
      <c r="ET39" s="435"/>
      <c r="EU39" s="435"/>
      <c r="EV39" s="436"/>
      <c r="EW39" s="309">
        <f>SUM(EW37:EW38)</f>
        <v>65.79648</v>
      </c>
      <c r="EX39" s="339" t="s">
        <v>271</v>
      </c>
      <c r="EY39" s="298"/>
      <c r="EZ39" s="434" t="s">
        <v>270</v>
      </c>
      <c r="FA39" s="435"/>
      <c r="FB39" s="435"/>
      <c r="FC39" s="436"/>
      <c r="FD39" s="309">
        <f>SUM(FD37:FD38)</f>
        <v>116.24022000000001</v>
      </c>
      <c r="FE39" s="339" t="s">
        <v>271</v>
      </c>
      <c r="FF39" s="298"/>
      <c r="FG39" s="434" t="s">
        <v>270</v>
      </c>
      <c r="FH39" s="435"/>
      <c r="FI39" s="435"/>
      <c r="FJ39" s="436"/>
      <c r="FK39" s="309">
        <f>SUM(FK37:FK38)</f>
        <v>86.40126</v>
      </c>
      <c r="FL39" s="339" t="s">
        <v>271</v>
      </c>
      <c r="FM39" s="298"/>
      <c r="FN39" s="434" t="s">
        <v>270</v>
      </c>
      <c r="FO39" s="435"/>
      <c r="FP39" s="435"/>
      <c r="FQ39" s="436"/>
      <c r="FR39" s="309">
        <f>SUM(FR37:FR38)</f>
        <v>85.54602</v>
      </c>
      <c r="FS39" s="339" t="s">
        <v>271</v>
      </c>
      <c r="FT39" s="360"/>
      <c r="FU39" s="434" t="s">
        <v>270</v>
      </c>
      <c r="FV39" s="435"/>
      <c r="FW39" s="435"/>
      <c r="FX39" s="436"/>
      <c r="FY39" s="309">
        <f>SUM(FY37:FY38)</f>
        <v>113.00073999999998</v>
      </c>
      <c r="FZ39" s="339" t="s">
        <v>271</v>
      </c>
      <c r="GA39" s="298"/>
      <c r="GB39" s="434" t="s">
        <v>270</v>
      </c>
      <c r="GC39" s="435"/>
      <c r="GD39" s="435"/>
      <c r="GE39" s="436"/>
      <c r="GF39" s="309">
        <f>SUM(GF37:GF38)</f>
        <v>87.29789999999998</v>
      </c>
      <c r="GG39" s="339" t="s">
        <v>271</v>
      </c>
    </row>
    <row r="40" spans="2:189" ht="15" customHeight="1" thickBot="1">
      <c r="B40" s="437" t="s">
        <v>274</v>
      </c>
      <c r="C40" s="438"/>
      <c r="D40" s="438"/>
      <c r="E40" s="439"/>
      <c r="F40" s="310">
        <f>F39*D38</f>
        <v>436.4894999999999</v>
      </c>
      <c r="G40" s="340" t="s">
        <v>271</v>
      </c>
      <c r="H40" s="298"/>
      <c r="I40" s="437" t="s">
        <v>274</v>
      </c>
      <c r="J40" s="438"/>
      <c r="K40" s="438"/>
      <c r="L40" s="439"/>
      <c r="M40" s="310">
        <f>M39*K38</f>
        <v>182.50439999999998</v>
      </c>
      <c r="N40" s="340" t="s">
        <v>271</v>
      </c>
      <c r="O40" s="298"/>
      <c r="P40" s="440" t="s">
        <v>277</v>
      </c>
      <c r="Q40" s="441"/>
      <c r="R40" s="441"/>
      <c r="S40" s="442"/>
      <c r="T40" s="312">
        <f>T38*20</f>
        <v>1783.2823999999996</v>
      </c>
      <c r="U40" s="341" t="s">
        <v>271</v>
      </c>
      <c r="V40" s="298"/>
      <c r="W40" s="437" t="s">
        <v>274</v>
      </c>
      <c r="X40" s="438"/>
      <c r="Y40" s="438"/>
      <c r="Z40" s="439"/>
      <c r="AA40" s="310">
        <f>AA39*Y38</f>
        <v>351.8339</v>
      </c>
      <c r="AB40" s="340" t="s">
        <v>271</v>
      </c>
      <c r="AC40" s="298"/>
      <c r="AD40" s="437" t="s">
        <v>274</v>
      </c>
      <c r="AE40" s="438"/>
      <c r="AF40" s="438"/>
      <c r="AG40" s="439"/>
      <c r="AH40" s="310">
        <f>AH39*AF38</f>
        <v>306.9419</v>
      </c>
      <c r="AI40" s="340" t="s">
        <v>271</v>
      </c>
      <c r="AJ40" s="298"/>
      <c r="AK40" s="437" t="s">
        <v>274</v>
      </c>
      <c r="AL40" s="438"/>
      <c r="AM40" s="438"/>
      <c r="AN40" s="439"/>
      <c r="AO40" s="310">
        <f>AO39*AM38</f>
        <v>262.29479999999995</v>
      </c>
      <c r="AP40" s="340" t="s">
        <v>271</v>
      </c>
      <c r="AQ40" s="298"/>
      <c r="AR40" s="434" t="s">
        <v>270</v>
      </c>
      <c r="AS40" s="435"/>
      <c r="AT40" s="435"/>
      <c r="AU40" s="436"/>
      <c r="AV40" s="309">
        <f>SUM(AV38:AV39)</f>
        <v>65.42898000000001</v>
      </c>
      <c r="AW40" s="339" t="s">
        <v>271</v>
      </c>
      <c r="AX40" s="298"/>
      <c r="BE40" s="298"/>
      <c r="BF40" s="437" t="s">
        <v>274</v>
      </c>
      <c r="BG40" s="438"/>
      <c r="BH40" s="438"/>
      <c r="BI40" s="439"/>
      <c r="BJ40" s="310">
        <f>BJ39*BH38</f>
        <v>619.3691</v>
      </c>
      <c r="BK40" s="340" t="s">
        <v>271</v>
      </c>
      <c r="BM40" s="437" t="s">
        <v>274</v>
      </c>
      <c r="BN40" s="438"/>
      <c r="BO40" s="438"/>
      <c r="BP40" s="439"/>
      <c r="BQ40" s="310">
        <f>BQ39*BO38</f>
        <v>317.8534000000001</v>
      </c>
      <c r="BR40" s="340" t="s">
        <v>271</v>
      </c>
      <c r="BS40" s="298"/>
      <c r="BT40" s="437" t="s">
        <v>274</v>
      </c>
      <c r="BU40" s="438"/>
      <c r="BV40" s="438"/>
      <c r="BW40" s="439"/>
      <c r="BX40" s="310">
        <f>BX39*BV38</f>
        <v>310.2581</v>
      </c>
      <c r="BY40" s="340" t="s">
        <v>271</v>
      </c>
      <c r="BZ40" s="298"/>
      <c r="CA40" s="437" t="s">
        <v>274</v>
      </c>
      <c r="CB40" s="438"/>
      <c r="CC40" s="438"/>
      <c r="CD40" s="439"/>
      <c r="CE40" s="310">
        <f>CE39*CC38</f>
        <v>363.8283</v>
      </c>
      <c r="CF40" s="340" t="s">
        <v>271</v>
      </c>
      <c r="CG40" s="298"/>
      <c r="CH40" s="437" t="s">
        <v>274</v>
      </c>
      <c r="CI40" s="438"/>
      <c r="CJ40" s="438"/>
      <c r="CK40" s="439"/>
      <c r="CL40" s="310">
        <f>CL39*CJ38</f>
        <v>383.5566</v>
      </c>
      <c r="CM40" s="340" t="s">
        <v>271</v>
      </c>
      <c r="CN40" s="298"/>
      <c r="CO40" s="437" t="s">
        <v>274</v>
      </c>
      <c r="CP40" s="438"/>
      <c r="CQ40" s="438"/>
      <c r="CR40" s="439"/>
      <c r="CS40" s="310">
        <f>CS39*CQ38</f>
        <v>528.5685</v>
      </c>
      <c r="CT40" s="340" t="s">
        <v>271</v>
      </c>
      <c r="CU40" s="298"/>
      <c r="CV40" s="437" t="s">
        <v>274</v>
      </c>
      <c r="CW40" s="438"/>
      <c r="CX40" s="438"/>
      <c r="CY40" s="439"/>
      <c r="CZ40" s="310">
        <f>CZ39*CX38</f>
        <v>545.4583</v>
      </c>
      <c r="DA40" s="340" t="s">
        <v>271</v>
      </c>
      <c r="DB40" s="298"/>
      <c r="DC40" s="437" t="s">
        <v>274</v>
      </c>
      <c r="DD40" s="438"/>
      <c r="DE40" s="438"/>
      <c r="DF40" s="439"/>
      <c r="DG40" s="310">
        <f>DG39*DE38</f>
        <v>499.8301</v>
      </c>
      <c r="DH40" s="340" t="s">
        <v>271</v>
      </c>
      <c r="DI40" s="298"/>
      <c r="DJ40" s="437" t="s">
        <v>274</v>
      </c>
      <c r="DK40" s="438"/>
      <c r="DL40" s="438"/>
      <c r="DM40" s="439"/>
      <c r="DN40" s="310">
        <f>DN39*DL38</f>
        <v>490.88359999999994</v>
      </c>
      <c r="DO40" s="340" t="s">
        <v>271</v>
      </c>
      <c r="DP40" s="298"/>
      <c r="DQ40" s="437" t="s">
        <v>274</v>
      </c>
      <c r="DR40" s="438"/>
      <c r="DS40" s="438"/>
      <c r="DT40" s="439"/>
      <c r="DU40" s="310">
        <f>DU39*DS38</f>
        <v>442.5878</v>
      </c>
      <c r="DV40" s="340" t="s">
        <v>271</v>
      </c>
      <c r="DX40" s="437" t="s">
        <v>274</v>
      </c>
      <c r="DY40" s="438"/>
      <c r="DZ40" s="438"/>
      <c r="EA40" s="439"/>
      <c r="EB40" s="310">
        <f>EB39*DZ38</f>
        <v>619.3691</v>
      </c>
      <c r="EC40" s="340" t="s">
        <v>271</v>
      </c>
      <c r="ED40" s="298"/>
      <c r="EE40" s="452"/>
      <c r="EF40" s="453"/>
      <c r="EG40" s="453"/>
      <c r="EH40" s="453"/>
      <c r="EI40" s="453"/>
      <c r="EJ40" s="454"/>
      <c r="EK40" s="298"/>
      <c r="EL40" s="452"/>
      <c r="EM40" s="453"/>
      <c r="EN40" s="453"/>
      <c r="EO40" s="453"/>
      <c r="EP40" s="453"/>
      <c r="EQ40" s="454"/>
      <c r="ER40" s="298"/>
      <c r="ES40" s="437" t="s">
        <v>274</v>
      </c>
      <c r="ET40" s="438"/>
      <c r="EU40" s="438"/>
      <c r="EV40" s="439"/>
      <c r="EW40" s="310">
        <f>EW39*EU38</f>
        <v>328.9824</v>
      </c>
      <c r="EX40" s="340" t="s">
        <v>271</v>
      </c>
      <c r="EY40" s="298"/>
      <c r="EZ40" s="437" t="s">
        <v>274</v>
      </c>
      <c r="FA40" s="438"/>
      <c r="FB40" s="438"/>
      <c r="FC40" s="439"/>
      <c r="FD40" s="310">
        <f>FD39*FB38</f>
        <v>581.2011</v>
      </c>
      <c r="FE40" s="340" t="s">
        <v>271</v>
      </c>
      <c r="FF40" s="298"/>
      <c r="FG40" s="437" t="s">
        <v>274</v>
      </c>
      <c r="FH40" s="438"/>
      <c r="FI40" s="438"/>
      <c r="FJ40" s="439"/>
      <c r="FK40" s="310">
        <f>FK39*FI38</f>
        <v>432.00629999999995</v>
      </c>
      <c r="FL40" s="340" t="s">
        <v>271</v>
      </c>
      <c r="FM40" s="298"/>
      <c r="FN40" s="437" t="s">
        <v>274</v>
      </c>
      <c r="FO40" s="438"/>
      <c r="FP40" s="438"/>
      <c r="FQ40" s="439"/>
      <c r="FR40" s="310">
        <f>FR39*FP38</f>
        <v>427.7301</v>
      </c>
      <c r="FS40" s="340" t="s">
        <v>271</v>
      </c>
      <c r="FT40" s="360"/>
      <c r="FU40" s="437" t="s">
        <v>274</v>
      </c>
      <c r="FV40" s="438"/>
      <c r="FW40" s="438"/>
      <c r="FX40" s="439"/>
      <c r="FY40" s="310">
        <f>FY39*FW38</f>
        <v>565.0036999999999</v>
      </c>
      <c r="FZ40" s="340" t="s">
        <v>271</v>
      </c>
      <c r="GA40" s="298"/>
      <c r="GB40" s="437" t="s">
        <v>274</v>
      </c>
      <c r="GC40" s="438"/>
      <c r="GD40" s="438"/>
      <c r="GE40" s="439"/>
      <c r="GF40" s="310">
        <f>GF39*GD38</f>
        <v>436.4894999999999</v>
      </c>
      <c r="GG40" s="340" t="s">
        <v>271</v>
      </c>
    </row>
    <row r="41" spans="2:189" ht="15.75" thickBot="1">
      <c r="B41" s="440" t="s">
        <v>277</v>
      </c>
      <c r="C41" s="441"/>
      <c r="D41" s="441"/>
      <c r="E41" s="442"/>
      <c r="F41" s="312">
        <f>F39*20</f>
        <v>1745.9579999999996</v>
      </c>
      <c r="G41" s="341" t="s">
        <v>271</v>
      </c>
      <c r="H41" s="298"/>
      <c r="I41" s="440" t="s">
        <v>277</v>
      </c>
      <c r="J41" s="441"/>
      <c r="K41" s="441"/>
      <c r="L41" s="442"/>
      <c r="M41" s="312">
        <f>M39*20</f>
        <v>730.0175999999999</v>
      </c>
      <c r="N41" s="341" t="s">
        <v>271</v>
      </c>
      <c r="O41" s="298"/>
      <c r="V41" s="298"/>
      <c r="W41" s="440" t="s">
        <v>277</v>
      </c>
      <c r="X41" s="441"/>
      <c r="Y41" s="441"/>
      <c r="Z41" s="442"/>
      <c r="AA41" s="312">
        <f>AA39*20</f>
        <v>1407.3356</v>
      </c>
      <c r="AB41" s="341" t="s">
        <v>271</v>
      </c>
      <c r="AC41" s="298"/>
      <c r="AD41" s="440" t="s">
        <v>277</v>
      </c>
      <c r="AE41" s="441"/>
      <c r="AF41" s="441"/>
      <c r="AG41" s="442"/>
      <c r="AH41" s="312">
        <f>AH39*20</f>
        <v>1227.7676</v>
      </c>
      <c r="AI41" s="341" t="s">
        <v>271</v>
      </c>
      <c r="AJ41" s="298"/>
      <c r="AK41" s="440" t="s">
        <v>277</v>
      </c>
      <c r="AL41" s="441"/>
      <c r="AM41" s="441"/>
      <c r="AN41" s="442"/>
      <c r="AO41" s="312">
        <f>AO39*20</f>
        <v>1049.1791999999998</v>
      </c>
      <c r="AP41" s="341" t="s">
        <v>271</v>
      </c>
      <c r="AQ41" s="298"/>
      <c r="AR41" s="437" t="s">
        <v>274</v>
      </c>
      <c r="AS41" s="438"/>
      <c r="AT41" s="438"/>
      <c r="AU41" s="439"/>
      <c r="AV41" s="310">
        <f>AV40*AT39</f>
        <v>327.14490000000006</v>
      </c>
      <c r="AW41" s="340" t="s">
        <v>271</v>
      </c>
      <c r="AX41" s="298"/>
      <c r="BE41" s="298"/>
      <c r="BF41" s="440" t="s">
        <v>277</v>
      </c>
      <c r="BG41" s="441"/>
      <c r="BH41" s="441"/>
      <c r="BI41" s="442"/>
      <c r="BJ41" s="312">
        <f>BJ39*20</f>
        <v>2477.4764</v>
      </c>
      <c r="BK41" s="341" t="s">
        <v>271</v>
      </c>
      <c r="BM41" s="440" t="s">
        <v>277</v>
      </c>
      <c r="BN41" s="441"/>
      <c r="BO41" s="441"/>
      <c r="BP41" s="442"/>
      <c r="BQ41" s="312">
        <f>BQ39*20</f>
        <v>1271.4136000000003</v>
      </c>
      <c r="BR41" s="341" t="s">
        <v>271</v>
      </c>
      <c r="BS41" s="298"/>
      <c r="BT41" s="440" t="s">
        <v>277</v>
      </c>
      <c r="BU41" s="441"/>
      <c r="BV41" s="441"/>
      <c r="BW41" s="442"/>
      <c r="BX41" s="312">
        <f>BX39*20</f>
        <v>1241.0324</v>
      </c>
      <c r="BY41" s="341" t="s">
        <v>271</v>
      </c>
      <c r="BZ41" s="298"/>
      <c r="CA41" s="440" t="s">
        <v>277</v>
      </c>
      <c r="CB41" s="441"/>
      <c r="CC41" s="441"/>
      <c r="CD41" s="442"/>
      <c r="CE41" s="312">
        <f>CE39*20</f>
        <v>1455.3132</v>
      </c>
      <c r="CF41" s="341" t="s">
        <v>271</v>
      </c>
      <c r="CG41" s="298"/>
      <c r="CH41" s="440" t="s">
        <v>277</v>
      </c>
      <c r="CI41" s="441"/>
      <c r="CJ41" s="441"/>
      <c r="CK41" s="442"/>
      <c r="CL41" s="312">
        <f>CL39*20</f>
        <v>1534.2264</v>
      </c>
      <c r="CM41" s="341" t="s">
        <v>271</v>
      </c>
      <c r="CN41" s="298"/>
      <c r="CO41" s="440" t="s">
        <v>277</v>
      </c>
      <c r="CP41" s="441"/>
      <c r="CQ41" s="441"/>
      <c r="CR41" s="442"/>
      <c r="CS41" s="312">
        <f>CS39*20</f>
        <v>2114.274</v>
      </c>
      <c r="CT41" s="341" t="s">
        <v>271</v>
      </c>
      <c r="CU41" s="298"/>
      <c r="CV41" s="440" t="s">
        <v>277</v>
      </c>
      <c r="CW41" s="441"/>
      <c r="CX41" s="441"/>
      <c r="CY41" s="442"/>
      <c r="CZ41" s="312">
        <f>CZ39*20</f>
        <v>2181.8332</v>
      </c>
      <c r="DA41" s="341" t="s">
        <v>271</v>
      </c>
      <c r="DB41" s="298"/>
      <c r="DC41" s="440" t="s">
        <v>277</v>
      </c>
      <c r="DD41" s="441"/>
      <c r="DE41" s="441"/>
      <c r="DF41" s="442"/>
      <c r="DG41" s="312">
        <f>DG39*20</f>
        <v>1999.3204</v>
      </c>
      <c r="DH41" s="341" t="s">
        <v>271</v>
      </c>
      <c r="DI41" s="298"/>
      <c r="DJ41" s="440" t="s">
        <v>277</v>
      </c>
      <c r="DK41" s="441"/>
      <c r="DL41" s="441"/>
      <c r="DM41" s="442"/>
      <c r="DN41" s="312">
        <f>DN39*20</f>
        <v>1963.5343999999998</v>
      </c>
      <c r="DO41" s="341" t="s">
        <v>271</v>
      </c>
      <c r="DP41" s="298"/>
      <c r="DQ41" s="440" t="s">
        <v>277</v>
      </c>
      <c r="DR41" s="441"/>
      <c r="DS41" s="441"/>
      <c r="DT41" s="442"/>
      <c r="DU41" s="312">
        <f>DU39*20</f>
        <v>1770.3512</v>
      </c>
      <c r="DV41" s="341" t="s">
        <v>271</v>
      </c>
      <c r="DX41" s="440" t="s">
        <v>277</v>
      </c>
      <c r="DY41" s="441"/>
      <c r="DZ41" s="441"/>
      <c r="EA41" s="442"/>
      <c r="EB41" s="312">
        <f>EB39*20</f>
        <v>2477.4764</v>
      </c>
      <c r="EC41" s="341" t="s">
        <v>271</v>
      </c>
      <c r="ED41" s="298"/>
      <c r="EE41" s="455" t="s">
        <v>299</v>
      </c>
      <c r="EF41" s="456"/>
      <c r="EG41" s="456"/>
      <c r="EH41" s="456"/>
      <c r="EI41" s="456"/>
      <c r="EJ41" s="457"/>
      <c r="EK41" s="298"/>
      <c r="EL41" s="455" t="s">
        <v>299</v>
      </c>
      <c r="EM41" s="456"/>
      <c r="EN41" s="456"/>
      <c r="EO41" s="456"/>
      <c r="EP41" s="456"/>
      <c r="EQ41" s="457"/>
      <c r="ER41" s="298"/>
      <c r="ES41" s="440" t="s">
        <v>277</v>
      </c>
      <c r="ET41" s="441"/>
      <c r="EU41" s="441"/>
      <c r="EV41" s="442"/>
      <c r="EW41" s="312">
        <f>EW39*20</f>
        <v>1315.9296</v>
      </c>
      <c r="EX41" s="341" t="s">
        <v>271</v>
      </c>
      <c r="EY41" s="298"/>
      <c r="EZ41" s="440" t="s">
        <v>277</v>
      </c>
      <c r="FA41" s="441"/>
      <c r="FB41" s="441"/>
      <c r="FC41" s="442"/>
      <c r="FD41" s="312">
        <f>FD39*20</f>
        <v>2324.8044</v>
      </c>
      <c r="FE41" s="341" t="s">
        <v>271</v>
      </c>
      <c r="FF41" s="298"/>
      <c r="FG41" s="440" t="s">
        <v>277</v>
      </c>
      <c r="FH41" s="441"/>
      <c r="FI41" s="441"/>
      <c r="FJ41" s="442"/>
      <c r="FK41" s="312">
        <f>FK39*20</f>
        <v>1728.0251999999998</v>
      </c>
      <c r="FL41" s="341" t="s">
        <v>271</v>
      </c>
      <c r="FM41" s="298"/>
      <c r="FN41" s="440" t="s">
        <v>277</v>
      </c>
      <c r="FO41" s="441"/>
      <c r="FP41" s="441"/>
      <c r="FQ41" s="442"/>
      <c r="FR41" s="312">
        <f>FR39*20</f>
        <v>1710.9204</v>
      </c>
      <c r="FS41" s="341" t="s">
        <v>271</v>
      </c>
      <c r="FT41" s="361"/>
      <c r="FU41" s="440" t="s">
        <v>277</v>
      </c>
      <c r="FV41" s="441"/>
      <c r="FW41" s="441"/>
      <c r="FX41" s="442"/>
      <c r="FY41" s="312">
        <f>FY39*20</f>
        <v>2260.0147999999995</v>
      </c>
      <c r="FZ41" s="341" t="s">
        <v>271</v>
      </c>
      <c r="GA41" s="298"/>
      <c r="GB41" s="440" t="s">
        <v>277</v>
      </c>
      <c r="GC41" s="441"/>
      <c r="GD41" s="441"/>
      <c r="GE41" s="442"/>
      <c r="GF41" s="312">
        <f>GF39*20</f>
        <v>1745.9579999999996</v>
      </c>
      <c r="GG41" s="341" t="s">
        <v>271</v>
      </c>
    </row>
    <row r="42" spans="8:183" ht="15.75" customHeight="1" thickBot="1">
      <c r="H42" s="298"/>
      <c r="O42" s="298"/>
      <c r="V42" s="298"/>
      <c r="AC42" s="298"/>
      <c r="AJ42" s="298"/>
      <c r="AQ42" s="298"/>
      <c r="AR42" s="440" t="s">
        <v>277</v>
      </c>
      <c r="AS42" s="441"/>
      <c r="AT42" s="441"/>
      <c r="AU42" s="442"/>
      <c r="AV42" s="312">
        <f>AV40*20</f>
        <v>1308.5796000000003</v>
      </c>
      <c r="AW42" s="341" t="s">
        <v>271</v>
      </c>
      <c r="AX42" s="298"/>
      <c r="BE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  <c r="DN42" s="298"/>
      <c r="DO42" s="298"/>
      <c r="DP42" s="298"/>
      <c r="DQ42" s="298"/>
      <c r="DR42" s="298"/>
      <c r="DS42" s="298"/>
      <c r="DT42" s="298"/>
      <c r="DU42" s="298"/>
      <c r="DV42" s="298"/>
      <c r="ED42" s="298"/>
      <c r="EE42" s="500" t="s">
        <v>342</v>
      </c>
      <c r="EF42" s="493" t="s">
        <v>257</v>
      </c>
      <c r="EG42" s="462" t="s">
        <v>315</v>
      </c>
      <c r="EH42" s="463"/>
      <c r="EI42" s="493" t="s">
        <v>103</v>
      </c>
      <c r="EJ42" s="495" t="s">
        <v>258</v>
      </c>
      <c r="EK42" s="298"/>
      <c r="EL42" s="500" t="s">
        <v>343</v>
      </c>
      <c r="EM42" s="493" t="s">
        <v>257</v>
      </c>
      <c r="EN42" s="462" t="s">
        <v>315</v>
      </c>
      <c r="EO42" s="463"/>
      <c r="EP42" s="493" t="s">
        <v>103</v>
      </c>
      <c r="EQ42" s="495" t="s">
        <v>258</v>
      </c>
      <c r="ER42" s="298"/>
      <c r="EY42" s="298"/>
      <c r="FF42" s="298"/>
      <c r="FM42" s="298"/>
      <c r="FT42" s="361"/>
      <c r="GA42" s="298"/>
    </row>
    <row r="43" spans="8:183" ht="15.75" customHeight="1">
      <c r="H43" s="298"/>
      <c r="O43" s="298"/>
      <c r="V43" s="298"/>
      <c r="AC43" s="298"/>
      <c r="AJ43" s="298"/>
      <c r="AQ43" s="298"/>
      <c r="AX43" s="298"/>
      <c r="BE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ED43" s="298"/>
      <c r="EE43" s="501"/>
      <c r="EF43" s="494"/>
      <c r="EG43" s="464"/>
      <c r="EH43" s="465"/>
      <c r="EI43" s="494"/>
      <c r="EJ43" s="496"/>
      <c r="EK43" s="298"/>
      <c r="EL43" s="501"/>
      <c r="EM43" s="494"/>
      <c r="EN43" s="464"/>
      <c r="EO43" s="465"/>
      <c r="EP43" s="494"/>
      <c r="EQ43" s="496"/>
      <c r="ER43" s="298"/>
      <c r="EY43" s="298"/>
      <c r="FF43" s="298"/>
      <c r="FM43" s="298"/>
      <c r="FT43" s="362"/>
      <c r="GA43" s="298"/>
    </row>
    <row r="44" spans="8:183" ht="15.75" customHeight="1">
      <c r="H44" s="298"/>
      <c r="O44" s="298"/>
      <c r="V44" s="298"/>
      <c r="AC44" s="298"/>
      <c r="AJ44" s="298"/>
      <c r="AQ44" s="298"/>
      <c r="AX44" s="298"/>
      <c r="BE44" s="298"/>
      <c r="BM44" s="298"/>
      <c r="BN44" s="298"/>
      <c r="BO44" s="298"/>
      <c r="BP44" s="298"/>
      <c r="BQ44" s="298"/>
      <c r="BR44" s="298"/>
      <c r="BT44" s="298"/>
      <c r="BU44" s="298"/>
      <c r="BV44" s="298"/>
      <c r="BW44" s="298"/>
      <c r="BX44" s="298"/>
      <c r="BY44" s="298"/>
      <c r="BZ44" s="298"/>
      <c r="CG44" s="298"/>
      <c r="CN44" s="298"/>
      <c r="CU44" s="298"/>
      <c r="DB44" s="298"/>
      <c r="DI44" s="298"/>
      <c r="DJ44" s="298"/>
      <c r="DK44" s="298"/>
      <c r="DL44" s="298"/>
      <c r="DM44" s="298"/>
      <c r="DN44" s="298"/>
      <c r="DO44" s="298"/>
      <c r="DP44" s="298"/>
      <c r="DQ44" s="298"/>
      <c r="DR44" s="298"/>
      <c r="DS44" s="298"/>
      <c r="DT44" s="298"/>
      <c r="DU44" s="298"/>
      <c r="DV44" s="298"/>
      <c r="ED44" s="298"/>
      <c r="EE44" s="306" t="s">
        <v>324</v>
      </c>
      <c r="EF44" s="307" t="s">
        <v>262</v>
      </c>
      <c r="EG44" s="336">
        <v>5</v>
      </c>
      <c r="EH44" s="337" t="s">
        <v>263</v>
      </c>
      <c r="EI44" s="308">
        <f>EI25</f>
        <v>25.293029999999998</v>
      </c>
      <c r="EJ44" s="338" t="s">
        <v>3</v>
      </c>
      <c r="EK44" s="298"/>
      <c r="EL44" s="306" t="s">
        <v>324</v>
      </c>
      <c r="EM44" s="307" t="s">
        <v>262</v>
      </c>
      <c r="EN44" s="336">
        <v>5</v>
      </c>
      <c r="EO44" s="337" t="s">
        <v>263</v>
      </c>
      <c r="EP44" s="308">
        <f>EP25</f>
        <v>21.941059999999997</v>
      </c>
      <c r="EQ44" s="338" t="s">
        <v>3</v>
      </c>
      <c r="ER44" s="298"/>
      <c r="EY44" s="298"/>
      <c r="FF44" s="298"/>
      <c r="FM44" s="298"/>
      <c r="FT44" s="362"/>
      <c r="GA44" s="298"/>
    </row>
    <row r="45" spans="8:183" ht="15.75" customHeight="1">
      <c r="H45" s="298"/>
      <c r="V45" s="298"/>
      <c r="AC45" s="298"/>
      <c r="AJ45" s="298"/>
      <c r="AQ45" s="298"/>
      <c r="AX45" s="298"/>
      <c r="BE45" s="298"/>
      <c r="BM45" s="298"/>
      <c r="BN45" s="298"/>
      <c r="BO45" s="298"/>
      <c r="BP45" s="298"/>
      <c r="BQ45" s="298"/>
      <c r="BR45" s="298"/>
      <c r="BT45" s="298"/>
      <c r="BU45" s="298"/>
      <c r="BV45" s="298"/>
      <c r="BW45" s="298"/>
      <c r="BX45" s="298">
        <v>42</v>
      </c>
      <c r="BY45" s="298"/>
      <c r="BZ45" s="298"/>
      <c r="CG45" s="298"/>
      <c r="CN45" s="298"/>
      <c r="CU45" s="298"/>
      <c r="DB45" s="298"/>
      <c r="DI45" s="298"/>
      <c r="DP45" s="298"/>
      <c r="ED45" s="298"/>
      <c r="EE45" s="306" t="s">
        <v>369</v>
      </c>
      <c r="EF45" s="307" t="s">
        <v>262</v>
      </c>
      <c r="EG45" s="336">
        <v>5</v>
      </c>
      <c r="EH45" s="337" t="s">
        <v>263</v>
      </c>
      <c r="EI45" s="308">
        <f>EI32</f>
        <v>50.586059999999996</v>
      </c>
      <c r="EJ45" s="338" t="s">
        <v>3</v>
      </c>
      <c r="EK45" s="298"/>
      <c r="EL45" s="306" t="s">
        <v>369</v>
      </c>
      <c r="EM45" s="307" t="s">
        <v>262</v>
      </c>
      <c r="EN45" s="336">
        <v>5</v>
      </c>
      <c r="EO45" s="337" t="s">
        <v>263</v>
      </c>
      <c r="EP45" s="308">
        <f>EP32</f>
        <v>43.88211999999999</v>
      </c>
      <c r="EQ45" s="338" t="s">
        <v>3</v>
      </c>
      <c r="ER45" s="298"/>
      <c r="EY45" s="298"/>
      <c r="FF45" s="298"/>
      <c r="FM45" s="298"/>
      <c r="FT45" s="362"/>
      <c r="GA45" s="298"/>
    </row>
    <row r="46" spans="65:147" ht="15" customHeight="1" thickBot="1">
      <c r="BM46" s="298"/>
      <c r="BN46" s="298"/>
      <c r="BO46" s="298"/>
      <c r="BP46" s="298"/>
      <c r="BQ46" s="298"/>
      <c r="BR46" s="298"/>
      <c r="BZ46" s="298"/>
      <c r="CG46" s="298"/>
      <c r="CN46" s="298"/>
      <c r="CU46" s="298"/>
      <c r="DB46" s="298"/>
      <c r="DI46" s="298"/>
      <c r="DP46" s="298"/>
      <c r="EE46" s="306" t="s">
        <v>367</v>
      </c>
      <c r="EF46" s="307" t="s">
        <v>262</v>
      </c>
      <c r="EG46" s="336">
        <v>5</v>
      </c>
      <c r="EH46" s="337" t="s">
        <v>263</v>
      </c>
      <c r="EI46" s="308">
        <f>EI37</f>
        <v>25.293029999999998</v>
      </c>
      <c r="EJ46" s="338" t="s">
        <v>3</v>
      </c>
      <c r="EL46" s="306" t="s">
        <v>367</v>
      </c>
      <c r="EM46" s="307" t="s">
        <v>262</v>
      </c>
      <c r="EN46" s="336">
        <v>5</v>
      </c>
      <c r="EO46" s="337" t="s">
        <v>263</v>
      </c>
      <c r="EP46" s="308">
        <f>EP37</f>
        <v>21.941059999999997</v>
      </c>
      <c r="EQ46" s="338" t="s">
        <v>3</v>
      </c>
    </row>
    <row r="47" spans="65:147" ht="15">
      <c r="BM47" s="298"/>
      <c r="BN47" s="298"/>
      <c r="BO47" s="298"/>
      <c r="BP47" s="298"/>
      <c r="BQ47" s="298"/>
      <c r="BR47" s="298"/>
      <c r="CN47" s="298"/>
      <c r="CU47" s="298"/>
      <c r="DB47" s="298"/>
      <c r="DI47" s="298"/>
      <c r="DP47" s="298"/>
      <c r="EE47" s="434" t="s">
        <v>270</v>
      </c>
      <c r="EF47" s="435"/>
      <c r="EG47" s="435"/>
      <c r="EH47" s="436"/>
      <c r="EI47" s="309">
        <f>SUM(EI44:EI46)</f>
        <v>101.17211999999999</v>
      </c>
      <c r="EJ47" s="339" t="s">
        <v>271</v>
      </c>
      <c r="EL47" s="434" t="s">
        <v>270</v>
      </c>
      <c r="EM47" s="435"/>
      <c r="EN47" s="435"/>
      <c r="EO47" s="436"/>
      <c r="EP47" s="309">
        <f>SUM(EP44:EP46)</f>
        <v>87.76423999999999</v>
      </c>
      <c r="EQ47" s="339" t="s">
        <v>271</v>
      </c>
    </row>
    <row r="48" spans="65:147" ht="15">
      <c r="BM48" s="298"/>
      <c r="BN48" s="298"/>
      <c r="BO48" s="298"/>
      <c r="BP48" s="298"/>
      <c r="BQ48" s="298"/>
      <c r="BR48" s="298"/>
      <c r="CU48" s="298"/>
      <c r="DB48" s="298"/>
      <c r="DI48" s="298"/>
      <c r="DP48" s="298"/>
      <c r="EE48" s="437" t="s">
        <v>274</v>
      </c>
      <c r="EF48" s="438"/>
      <c r="EG48" s="438"/>
      <c r="EH48" s="439"/>
      <c r="EI48" s="310">
        <f>EI47*EG45</f>
        <v>505.8606</v>
      </c>
      <c r="EJ48" s="340" t="s">
        <v>271</v>
      </c>
      <c r="EL48" s="437" t="s">
        <v>274</v>
      </c>
      <c r="EM48" s="438"/>
      <c r="EN48" s="438"/>
      <c r="EO48" s="439"/>
      <c r="EP48" s="310">
        <f>EP47*EN45</f>
        <v>438.8211999999999</v>
      </c>
      <c r="EQ48" s="340" t="s">
        <v>271</v>
      </c>
    </row>
    <row r="49" spans="135:147" ht="15" customHeight="1" thickBot="1">
      <c r="EE49" s="440" t="s">
        <v>277</v>
      </c>
      <c r="EF49" s="441"/>
      <c r="EG49" s="441"/>
      <c r="EH49" s="442"/>
      <c r="EI49" s="312">
        <f>EI47*20</f>
        <v>2023.4424</v>
      </c>
      <c r="EJ49" s="341" t="s">
        <v>271</v>
      </c>
      <c r="EL49" s="440" t="s">
        <v>277</v>
      </c>
      <c r="EM49" s="441"/>
      <c r="EN49" s="441"/>
      <c r="EO49" s="442"/>
      <c r="EP49" s="312">
        <f>EP47*20</f>
        <v>1755.2847999999997</v>
      </c>
      <c r="EQ49" s="341" t="s">
        <v>271</v>
      </c>
    </row>
    <row r="50" ht="15.75" customHeight="1">
      <c r="BX50">
        <v>22</v>
      </c>
    </row>
    <row r="51" ht="15.75" customHeight="1"/>
    <row r="52" ht="15.75" customHeight="1"/>
    <row r="53" ht="12.75" customHeight="1"/>
  </sheetData>
  <sheetProtection/>
  <mergeCells count="971">
    <mergeCell ref="EE36:EH36"/>
    <mergeCell ref="EE37:EH37"/>
    <mergeCell ref="DJ33:DO33"/>
    <mergeCell ref="DQ30:DT30"/>
    <mergeCell ref="BO12:BP12"/>
    <mergeCell ref="DZ14:EA14"/>
    <mergeCell ref="DZ15:EA15"/>
    <mergeCell ref="DX16:EA16"/>
    <mergeCell ref="DQ28:DT28"/>
    <mergeCell ref="DX22:EC22"/>
    <mergeCell ref="EG42:EH43"/>
    <mergeCell ref="BT32:BY32"/>
    <mergeCell ref="DX34:EC34"/>
    <mergeCell ref="DX28:EA28"/>
    <mergeCell ref="DU35:DU36"/>
    <mergeCell ref="CO28:CR28"/>
    <mergeCell ref="EE28:EH28"/>
    <mergeCell ref="EE30:EH30"/>
    <mergeCell ref="CA40:CD40"/>
    <mergeCell ref="CA39:CD39"/>
    <mergeCell ref="EQ42:EQ43"/>
    <mergeCell ref="EL47:EO47"/>
    <mergeCell ref="DJ39:DM39"/>
    <mergeCell ref="DQ39:DT39"/>
    <mergeCell ref="DQ33:DV33"/>
    <mergeCell ref="EE31:EH31"/>
    <mergeCell ref="EE42:EE43"/>
    <mergeCell ref="EE40:EJ40"/>
    <mergeCell ref="DV35:DV36"/>
    <mergeCell ref="EE32:EH32"/>
    <mergeCell ref="R7:S7"/>
    <mergeCell ref="CA19:CF19"/>
    <mergeCell ref="CH21:CM21"/>
    <mergeCell ref="CH20:CM20"/>
    <mergeCell ref="CV19:DA19"/>
    <mergeCell ref="BA11:BB11"/>
    <mergeCell ref="BH14:BI14"/>
    <mergeCell ref="CO21:CT21"/>
    <mergeCell ref="CQ12:CR12"/>
    <mergeCell ref="AD12:AG12"/>
    <mergeCell ref="EP42:EP43"/>
    <mergeCell ref="EE34:EJ34"/>
    <mergeCell ref="EL49:EO49"/>
    <mergeCell ref="EM42:EM43"/>
    <mergeCell ref="EN42:EO43"/>
    <mergeCell ref="EL28:EO28"/>
    <mergeCell ref="EL48:EO48"/>
    <mergeCell ref="EL41:EQ41"/>
    <mergeCell ref="EI42:EI43"/>
    <mergeCell ref="EF42:EF43"/>
    <mergeCell ref="EL31:EO31"/>
    <mergeCell ref="EL32:EO32"/>
    <mergeCell ref="EL34:EQ34"/>
    <mergeCell ref="EL35:EO35"/>
    <mergeCell ref="EZ28:FC28"/>
    <mergeCell ref="EZ30:FC30"/>
    <mergeCell ref="EL30:EO30"/>
    <mergeCell ref="ES28:EV28"/>
    <mergeCell ref="ES35:ES36"/>
    <mergeCell ref="ET35:ET36"/>
    <mergeCell ref="FG24:FJ24"/>
    <mergeCell ref="FN24:FQ24"/>
    <mergeCell ref="FU24:FX24"/>
    <mergeCell ref="DQ24:DT24"/>
    <mergeCell ref="DX24:EA24"/>
    <mergeCell ref="EE24:EH24"/>
    <mergeCell ref="EL24:EO24"/>
    <mergeCell ref="ES24:EV24"/>
    <mergeCell ref="EZ24:FC24"/>
    <mergeCell ref="AR27:AW27"/>
    <mergeCell ref="BF28:BI28"/>
    <mergeCell ref="AY24:BD24"/>
    <mergeCell ref="AK26:AP26"/>
    <mergeCell ref="AK24:AN24"/>
    <mergeCell ref="AK25:AN25"/>
    <mergeCell ref="BF26:BK26"/>
    <mergeCell ref="AY26:BB26"/>
    <mergeCell ref="EE41:EJ41"/>
    <mergeCell ref="ES40:EV40"/>
    <mergeCell ref="B24:E24"/>
    <mergeCell ref="I24:L24"/>
    <mergeCell ref="DX39:EA39"/>
    <mergeCell ref="ES39:EV39"/>
    <mergeCell ref="EL40:EQ40"/>
    <mergeCell ref="EE39:EJ39"/>
    <mergeCell ref="AK28:AN28"/>
    <mergeCell ref="B28:E28"/>
    <mergeCell ref="I28:L28"/>
    <mergeCell ref="P27:S27"/>
    <mergeCell ref="W26:AB26"/>
    <mergeCell ref="B26:G26"/>
    <mergeCell ref="AD26:AI26"/>
    <mergeCell ref="W28:Z28"/>
    <mergeCell ref="AD28:AG28"/>
    <mergeCell ref="I27:N27"/>
    <mergeCell ref="W27:AB27"/>
    <mergeCell ref="I26:N26"/>
    <mergeCell ref="FU40:FX40"/>
    <mergeCell ref="FU39:FX39"/>
    <mergeCell ref="FU35:FU36"/>
    <mergeCell ref="FV35:FV36"/>
    <mergeCell ref="DX41:EA41"/>
    <mergeCell ref="DX40:EA40"/>
    <mergeCell ref="EL36:EO36"/>
    <mergeCell ref="EL39:EQ39"/>
    <mergeCell ref="ES41:EV41"/>
    <mergeCell ref="EE35:EH35"/>
    <mergeCell ref="EZ39:FC39"/>
    <mergeCell ref="FG39:FJ39"/>
    <mergeCell ref="FN39:FQ39"/>
    <mergeCell ref="EZ40:FC40"/>
    <mergeCell ref="FG40:FJ40"/>
    <mergeCell ref="FN40:FQ40"/>
    <mergeCell ref="FN35:FN36"/>
    <mergeCell ref="FO35:FO36"/>
    <mergeCell ref="FY35:FY36"/>
    <mergeCell ref="FZ35:FZ36"/>
    <mergeCell ref="EZ41:FC41"/>
    <mergeCell ref="FG41:FJ41"/>
    <mergeCell ref="FU41:FX41"/>
    <mergeCell ref="FN41:FQ41"/>
    <mergeCell ref="FL35:FL36"/>
    <mergeCell ref="FW35:FX36"/>
    <mergeCell ref="FP35:FQ36"/>
    <mergeCell ref="FR35:FR36"/>
    <mergeCell ref="EL37:EO37"/>
    <mergeCell ref="FN34:FS34"/>
    <mergeCell ref="ES34:EX34"/>
    <mergeCell ref="EX35:EX36"/>
    <mergeCell ref="EZ35:EZ36"/>
    <mergeCell ref="FA35:FA36"/>
    <mergeCell ref="FD35:FD36"/>
    <mergeCell ref="FE35:FE36"/>
    <mergeCell ref="FS35:FS36"/>
    <mergeCell ref="FB35:FC36"/>
    <mergeCell ref="FU34:FZ34"/>
    <mergeCell ref="DX35:DX36"/>
    <mergeCell ref="DY35:DY36"/>
    <mergeCell ref="DZ35:EA36"/>
    <mergeCell ref="EB35:EB36"/>
    <mergeCell ref="EC35:EC36"/>
    <mergeCell ref="EZ34:FE34"/>
    <mergeCell ref="FG34:FL34"/>
    <mergeCell ref="EW35:EW36"/>
    <mergeCell ref="DX33:EC33"/>
    <mergeCell ref="ES33:EX33"/>
    <mergeCell ref="EZ33:FE33"/>
    <mergeCell ref="FG33:FL33"/>
    <mergeCell ref="FG35:FG36"/>
    <mergeCell ref="FH35:FH36"/>
    <mergeCell ref="FI35:FJ36"/>
    <mergeCell ref="FK35:FK36"/>
    <mergeCell ref="EU35:EV36"/>
    <mergeCell ref="FN33:FS33"/>
    <mergeCell ref="FU33:FZ33"/>
    <mergeCell ref="FU30:FX30"/>
    <mergeCell ref="DX32:EC32"/>
    <mergeCell ref="ES32:EX32"/>
    <mergeCell ref="EZ32:FE32"/>
    <mergeCell ref="FG32:FL32"/>
    <mergeCell ref="FN32:FS32"/>
    <mergeCell ref="FU32:FZ32"/>
    <mergeCell ref="DX30:EA30"/>
    <mergeCell ref="FG30:FJ30"/>
    <mergeCell ref="FN30:FQ30"/>
    <mergeCell ref="DX29:EA29"/>
    <mergeCell ref="EE29:EH29"/>
    <mergeCell ref="EL29:EO29"/>
    <mergeCell ref="ES29:EV29"/>
    <mergeCell ref="EZ29:FC29"/>
    <mergeCell ref="FG29:FJ29"/>
    <mergeCell ref="FN29:FQ29"/>
    <mergeCell ref="ES30:EV30"/>
    <mergeCell ref="FU29:FX29"/>
    <mergeCell ref="FU27:FZ27"/>
    <mergeCell ref="FG27:FL27"/>
    <mergeCell ref="FG28:FJ28"/>
    <mergeCell ref="FN28:FQ28"/>
    <mergeCell ref="FU28:FX28"/>
    <mergeCell ref="FN26:FS26"/>
    <mergeCell ref="FU26:FZ26"/>
    <mergeCell ref="FN27:FS27"/>
    <mergeCell ref="DX27:EC27"/>
    <mergeCell ref="EE27:EJ27"/>
    <mergeCell ref="EL27:EQ27"/>
    <mergeCell ref="ES27:EX27"/>
    <mergeCell ref="EZ27:FE27"/>
    <mergeCell ref="DX26:EC26"/>
    <mergeCell ref="ES26:EX26"/>
    <mergeCell ref="FG26:FL26"/>
    <mergeCell ref="DX25:EA25"/>
    <mergeCell ref="EE25:EH25"/>
    <mergeCell ref="EL25:EO25"/>
    <mergeCell ref="ES25:EV25"/>
    <mergeCell ref="EZ25:FC25"/>
    <mergeCell ref="FG25:FJ25"/>
    <mergeCell ref="EZ26:FE26"/>
    <mergeCell ref="FN25:FQ25"/>
    <mergeCell ref="FU25:FX25"/>
    <mergeCell ref="FU23:FX23"/>
    <mergeCell ref="DX23:EA23"/>
    <mergeCell ref="EE23:EH23"/>
    <mergeCell ref="EL23:EO23"/>
    <mergeCell ref="ES23:EV23"/>
    <mergeCell ref="EZ23:FC23"/>
    <mergeCell ref="FG23:FJ23"/>
    <mergeCell ref="FN23:FQ23"/>
    <mergeCell ref="EE22:EJ22"/>
    <mergeCell ref="EL22:EQ22"/>
    <mergeCell ref="ES22:EX22"/>
    <mergeCell ref="EZ22:FE22"/>
    <mergeCell ref="FG22:FL22"/>
    <mergeCell ref="FN22:FS22"/>
    <mergeCell ref="FU22:FZ22"/>
    <mergeCell ref="FU20:FZ20"/>
    <mergeCell ref="DX21:EC21"/>
    <mergeCell ref="EE21:EJ21"/>
    <mergeCell ref="EL21:EQ21"/>
    <mergeCell ref="ES21:EX21"/>
    <mergeCell ref="EZ21:FE21"/>
    <mergeCell ref="FG21:FL21"/>
    <mergeCell ref="FN21:FS21"/>
    <mergeCell ref="FU21:FZ21"/>
    <mergeCell ref="FU19:FZ19"/>
    <mergeCell ref="DX20:EC20"/>
    <mergeCell ref="EE20:EJ20"/>
    <mergeCell ref="EL20:EQ20"/>
    <mergeCell ref="ES20:EX20"/>
    <mergeCell ref="EZ20:FE20"/>
    <mergeCell ref="FI15:FJ15"/>
    <mergeCell ref="FG20:FL20"/>
    <mergeCell ref="FN20:FS20"/>
    <mergeCell ref="DX19:EC19"/>
    <mergeCell ref="EE19:EJ19"/>
    <mergeCell ref="EL19:EQ19"/>
    <mergeCell ref="ES19:EX19"/>
    <mergeCell ref="EZ19:FE19"/>
    <mergeCell ref="FG19:FL19"/>
    <mergeCell ref="FN19:FS19"/>
    <mergeCell ref="FW13:FX13"/>
    <mergeCell ref="DZ12:EA12"/>
    <mergeCell ref="EG12:EH12"/>
    <mergeCell ref="FP15:FQ15"/>
    <mergeCell ref="FU15:FX15"/>
    <mergeCell ref="EZ14:FC14"/>
    <mergeCell ref="FW14:FX14"/>
    <mergeCell ref="EG15:EH15"/>
    <mergeCell ref="EU15:EV15"/>
    <mergeCell ref="FB15:FC15"/>
    <mergeCell ref="FW10:FX10"/>
    <mergeCell ref="FP11:FQ11"/>
    <mergeCell ref="FW11:FX11"/>
    <mergeCell ref="FP12:FQ12"/>
    <mergeCell ref="FW12:FX12"/>
    <mergeCell ref="DZ13:EA13"/>
    <mergeCell ref="EE13:EH13"/>
    <mergeCell ref="FB13:FC13"/>
    <mergeCell ref="FG13:FJ13"/>
    <mergeCell ref="FN13:FQ13"/>
    <mergeCell ref="DZ10:EA10"/>
    <mergeCell ref="FB11:FC11"/>
    <mergeCell ref="FI11:FJ11"/>
    <mergeCell ref="EL12:EO12"/>
    <mergeCell ref="ES13:EV13"/>
    <mergeCell ref="FB12:FC12"/>
    <mergeCell ref="FI12:FJ12"/>
    <mergeCell ref="EU12:EV12"/>
    <mergeCell ref="EG11:EH11"/>
    <mergeCell ref="EN11:EO11"/>
    <mergeCell ref="EU11:EV11"/>
    <mergeCell ref="EG10:EH10"/>
    <mergeCell ref="EN10:EO10"/>
    <mergeCell ref="EU10:EV10"/>
    <mergeCell ref="FB10:FC10"/>
    <mergeCell ref="FI10:FJ10"/>
    <mergeCell ref="FP10:FQ10"/>
    <mergeCell ref="FB8:FC8"/>
    <mergeCell ref="FI8:FJ8"/>
    <mergeCell ref="FP8:FQ8"/>
    <mergeCell ref="FW8:FX8"/>
    <mergeCell ref="EU9:EV9"/>
    <mergeCell ref="FB9:FC9"/>
    <mergeCell ref="FI9:FJ9"/>
    <mergeCell ref="FP9:FQ9"/>
    <mergeCell ref="FW9:FX9"/>
    <mergeCell ref="DX4:EC4"/>
    <mergeCell ref="FP6:FQ6"/>
    <mergeCell ref="FW6:FX6"/>
    <mergeCell ref="FB7:FC7"/>
    <mergeCell ref="FI7:FJ7"/>
    <mergeCell ref="FP7:FQ7"/>
    <mergeCell ref="FW7:FX7"/>
    <mergeCell ref="FI6:FJ6"/>
    <mergeCell ref="EL4:EQ4"/>
    <mergeCell ref="ES4:EX4"/>
    <mergeCell ref="FU3:FZ3"/>
    <mergeCell ref="FU4:FZ4"/>
    <mergeCell ref="DX5:EC5"/>
    <mergeCell ref="EE5:EJ5"/>
    <mergeCell ref="EL5:EQ5"/>
    <mergeCell ref="ES5:EX5"/>
    <mergeCell ref="EZ5:FE5"/>
    <mergeCell ref="FG5:FL5"/>
    <mergeCell ref="FN5:FS5"/>
    <mergeCell ref="FU5:FZ5"/>
    <mergeCell ref="EE2:EJ2"/>
    <mergeCell ref="FU2:FZ2"/>
    <mergeCell ref="DX3:EC3"/>
    <mergeCell ref="EE3:EJ3"/>
    <mergeCell ref="EL3:EQ3"/>
    <mergeCell ref="ES3:EX3"/>
    <mergeCell ref="EZ3:FE3"/>
    <mergeCell ref="FG3:FL3"/>
    <mergeCell ref="FN3:FS3"/>
    <mergeCell ref="FN2:FS2"/>
    <mergeCell ref="EZ4:FE4"/>
    <mergeCell ref="FG4:FL4"/>
    <mergeCell ref="FG2:FL2"/>
    <mergeCell ref="FN4:FS4"/>
    <mergeCell ref="EZ2:FE2"/>
    <mergeCell ref="DZ7:EA7"/>
    <mergeCell ref="EG7:EH7"/>
    <mergeCell ref="EN7:EO7"/>
    <mergeCell ref="EU7:EV7"/>
    <mergeCell ref="FB6:FC6"/>
    <mergeCell ref="EN6:EO6"/>
    <mergeCell ref="EU6:EV6"/>
    <mergeCell ref="CM35:CM36"/>
    <mergeCell ref="CH40:CK40"/>
    <mergeCell ref="CL35:CL36"/>
    <mergeCell ref="DR35:DR36"/>
    <mergeCell ref="DJ35:DJ36"/>
    <mergeCell ref="DC40:DF40"/>
    <mergeCell ref="EG9:EH9"/>
    <mergeCell ref="EN9:EO9"/>
    <mergeCell ref="ES2:EX2"/>
    <mergeCell ref="DZ8:EA8"/>
    <mergeCell ref="EG8:EH8"/>
    <mergeCell ref="EN8:EO8"/>
    <mergeCell ref="EU8:EV8"/>
    <mergeCell ref="DX2:EC2"/>
    <mergeCell ref="EL2:EQ2"/>
    <mergeCell ref="EE4:EJ4"/>
    <mergeCell ref="DZ6:EA6"/>
    <mergeCell ref="EG6:EH6"/>
    <mergeCell ref="CH39:CK39"/>
    <mergeCell ref="DZ9:EA9"/>
    <mergeCell ref="CV40:CY40"/>
    <mergeCell ref="DJ40:DM40"/>
    <mergeCell ref="DC41:DF41"/>
    <mergeCell ref="CB35:CB36"/>
    <mergeCell ref="CC35:CD36"/>
    <mergeCell ref="CO40:CR40"/>
    <mergeCell ref="DL35:DM36"/>
    <mergeCell ref="DZ11:EA11"/>
    <mergeCell ref="DJ41:DM41"/>
    <mergeCell ref="DQ41:DT41"/>
    <mergeCell ref="DQ40:DT40"/>
    <mergeCell ref="DQ35:DQ36"/>
    <mergeCell ref="DS35:DT36"/>
    <mergeCell ref="DH35:DH36"/>
    <mergeCell ref="DC39:DF39"/>
    <mergeCell ref="BM41:BP41"/>
    <mergeCell ref="CA35:CA36"/>
    <mergeCell ref="BM35:BM36"/>
    <mergeCell ref="BN35:BN36"/>
    <mergeCell ref="CO39:CR39"/>
    <mergeCell ref="CH41:CK41"/>
    <mergeCell ref="CO41:CR41"/>
    <mergeCell ref="DC35:DC36"/>
    <mergeCell ref="CQ35:CR36"/>
    <mergeCell ref="CO33:CT33"/>
    <mergeCell ref="CA41:CD41"/>
    <mergeCell ref="CV41:CY41"/>
    <mergeCell ref="BM40:BP40"/>
    <mergeCell ref="BU35:BU36"/>
    <mergeCell ref="BV35:BW36"/>
    <mergeCell ref="CF35:CF36"/>
    <mergeCell ref="CP35:CP36"/>
    <mergeCell ref="CH34:CM34"/>
    <mergeCell ref="BT41:BW41"/>
    <mergeCell ref="DJ34:DO34"/>
    <mergeCell ref="DQ34:DV34"/>
    <mergeCell ref="DC34:DH34"/>
    <mergeCell ref="DD35:DD36"/>
    <mergeCell ref="DK35:DK36"/>
    <mergeCell ref="BO35:BP36"/>
    <mergeCell ref="BQ35:BQ36"/>
    <mergeCell ref="BY35:BY36"/>
    <mergeCell ref="DN35:DN36"/>
    <mergeCell ref="DO35:DO36"/>
    <mergeCell ref="CO35:CO36"/>
    <mergeCell ref="CS35:CS36"/>
    <mergeCell ref="DE35:DF36"/>
    <mergeCell ref="CO34:CT34"/>
    <mergeCell ref="CA33:CF33"/>
    <mergeCell ref="CH35:CH36"/>
    <mergeCell ref="DC33:DH33"/>
    <mergeCell ref="CH33:CM33"/>
    <mergeCell ref="DG35:DG36"/>
    <mergeCell ref="CT35:CT36"/>
    <mergeCell ref="CA34:CF34"/>
    <mergeCell ref="BR35:BR36"/>
    <mergeCell ref="BT35:BT36"/>
    <mergeCell ref="CI35:CI36"/>
    <mergeCell ref="CJ35:CK36"/>
    <mergeCell ref="BX35:BX36"/>
    <mergeCell ref="CE35:CE36"/>
    <mergeCell ref="BT34:BY34"/>
    <mergeCell ref="DJ28:DM28"/>
    <mergeCell ref="BT33:BY33"/>
    <mergeCell ref="CA32:CF32"/>
    <mergeCell ref="CH30:CK30"/>
    <mergeCell ref="DJ29:DM29"/>
    <mergeCell ref="DJ30:DM30"/>
    <mergeCell ref="CA28:CD28"/>
    <mergeCell ref="BT28:BW28"/>
    <mergeCell ref="CO30:CR30"/>
    <mergeCell ref="DC32:DH32"/>
    <mergeCell ref="CO32:CT32"/>
    <mergeCell ref="BM24:BP24"/>
    <mergeCell ref="BT24:BW24"/>
    <mergeCell ref="BM25:BP25"/>
    <mergeCell ref="CA25:CD25"/>
    <mergeCell ref="CH27:CM27"/>
    <mergeCell ref="CH28:CK28"/>
    <mergeCell ref="CA29:CD29"/>
    <mergeCell ref="CH29:CK29"/>
    <mergeCell ref="BM30:BP30"/>
    <mergeCell ref="BT30:BW30"/>
    <mergeCell ref="CV29:CY29"/>
    <mergeCell ref="CV30:CY30"/>
    <mergeCell ref="CV28:CY28"/>
    <mergeCell ref="DC22:DH22"/>
    <mergeCell ref="CO22:CT22"/>
    <mergeCell ref="BT27:BY27"/>
    <mergeCell ref="DC28:DF28"/>
    <mergeCell ref="DC25:DF25"/>
    <mergeCell ref="BT25:BW25"/>
    <mergeCell ref="DC21:DH21"/>
    <mergeCell ref="CO27:CT27"/>
    <mergeCell ref="CO23:CR23"/>
    <mergeCell ref="CA23:CD23"/>
    <mergeCell ref="CH25:CK25"/>
    <mergeCell ref="CO25:CR25"/>
    <mergeCell ref="CA22:CF22"/>
    <mergeCell ref="DC27:DH27"/>
    <mergeCell ref="CA21:CF21"/>
    <mergeCell ref="CA27:CF27"/>
    <mergeCell ref="CH32:CM32"/>
    <mergeCell ref="DJ21:DO21"/>
    <mergeCell ref="DJ23:DM23"/>
    <mergeCell ref="DQ23:DT23"/>
    <mergeCell ref="DJ27:DO27"/>
    <mergeCell ref="DC29:DF29"/>
    <mergeCell ref="DQ32:DV32"/>
    <mergeCell ref="DQ29:DT29"/>
    <mergeCell ref="DC23:DF23"/>
    <mergeCell ref="DQ25:DT25"/>
    <mergeCell ref="DQ21:DV21"/>
    <mergeCell ref="CO20:CT20"/>
    <mergeCell ref="DJ32:DO32"/>
    <mergeCell ref="DJ24:DM24"/>
    <mergeCell ref="CA24:CD24"/>
    <mergeCell ref="CH24:CK24"/>
    <mergeCell ref="CO24:CR24"/>
    <mergeCell ref="DC24:DF24"/>
    <mergeCell ref="DC30:DF30"/>
    <mergeCell ref="CO29:CR29"/>
    <mergeCell ref="DJ22:DO22"/>
    <mergeCell ref="BM21:BR21"/>
    <mergeCell ref="EJ42:EJ43"/>
    <mergeCell ref="CH19:CM19"/>
    <mergeCell ref="CO19:CT19"/>
    <mergeCell ref="DC19:DH19"/>
    <mergeCell ref="BT21:BY21"/>
    <mergeCell ref="DQ20:DV20"/>
    <mergeCell ref="DJ20:DO20"/>
    <mergeCell ref="BT19:BY19"/>
    <mergeCell ref="DJ19:DO19"/>
    <mergeCell ref="BM20:BR20"/>
    <mergeCell ref="CH14:CK14"/>
    <mergeCell ref="CO15:CR15"/>
    <mergeCell ref="DC13:DF13"/>
    <mergeCell ref="DC20:DH20"/>
    <mergeCell ref="DJ25:DM25"/>
    <mergeCell ref="CJ12:CK12"/>
    <mergeCell ref="BM19:BR19"/>
    <mergeCell ref="CQ14:CR14"/>
    <mergeCell ref="CV13:CY13"/>
    <mergeCell ref="CJ13:CK13"/>
    <mergeCell ref="CQ13:CR13"/>
    <mergeCell ref="BM13:BP13"/>
    <mergeCell ref="BV13:BW13"/>
    <mergeCell ref="DJ13:DM13"/>
    <mergeCell ref="EE48:EH48"/>
    <mergeCell ref="CC10:CD10"/>
    <mergeCell ref="CJ10:CK10"/>
    <mergeCell ref="CQ10:CR10"/>
    <mergeCell ref="DQ19:DV19"/>
    <mergeCell ref="DE12:DF12"/>
    <mergeCell ref="EE47:EH47"/>
    <mergeCell ref="DE11:DF11"/>
    <mergeCell ref="DS10:DT10"/>
    <mergeCell ref="DL11:DM11"/>
    <mergeCell ref="DL10:DM10"/>
    <mergeCell ref="DQ13:DT13"/>
    <mergeCell ref="DQ22:DV22"/>
    <mergeCell ref="DQ27:DV27"/>
    <mergeCell ref="CJ11:CK11"/>
    <mergeCell ref="CQ11:CR11"/>
    <mergeCell ref="DE10:DF10"/>
    <mergeCell ref="DS11:DT11"/>
    <mergeCell ref="DL12:DM12"/>
    <mergeCell ref="DS12:DT12"/>
    <mergeCell ref="CJ9:CK9"/>
    <mergeCell ref="CJ7:CK7"/>
    <mergeCell ref="CQ7:CR7"/>
    <mergeCell ref="DE9:DF9"/>
    <mergeCell ref="EE49:EH49"/>
    <mergeCell ref="DS7:DT7"/>
    <mergeCell ref="DL8:DM8"/>
    <mergeCell ref="DS8:DT8"/>
    <mergeCell ref="DL9:DM9"/>
    <mergeCell ref="DS9:DT9"/>
    <mergeCell ref="DL7:DM7"/>
    <mergeCell ref="CX6:CY6"/>
    <mergeCell ref="DJ5:DO5"/>
    <mergeCell ref="EL42:EL43"/>
    <mergeCell ref="DQ4:DV4"/>
    <mergeCell ref="CA5:CF5"/>
    <mergeCell ref="CH5:CM5"/>
    <mergeCell ref="CO5:CT5"/>
    <mergeCell ref="DC4:DH4"/>
    <mergeCell ref="CJ8:CK8"/>
    <mergeCell ref="DQ5:DV5"/>
    <mergeCell ref="DJ3:DO3"/>
    <mergeCell ref="DQ3:DV3"/>
    <mergeCell ref="DL6:DM6"/>
    <mergeCell ref="DS6:DT6"/>
    <mergeCell ref="CH2:CM2"/>
    <mergeCell ref="DJ2:DO2"/>
    <mergeCell ref="DQ2:DV2"/>
    <mergeCell ref="DJ4:DO4"/>
    <mergeCell ref="CO4:CT4"/>
    <mergeCell ref="AR42:AU42"/>
    <mergeCell ref="CA2:CF2"/>
    <mergeCell ref="CA3:CF3"/>
    <mergeCell ref="CC6:CD6"/>
    <mergeCell ref="BM23:BP23"/>
    <mergeCell ref="CA20:CF20"/>
    <mergeCell ref="BM32:BR32"/>
    <mergeCell ref="CA30:CD30"/>
    <mergeCell ref="BT20:BY20"/>
    <mergeCell ref="BT23:BW23"/>
    <mergeCell ref="DE8:DF8"/>
    <mergeCell ref="BM29:BP29"/>
    <mergeCell ref="B41:E41"/>
    <mergeCell ref="CO2:CT2"/>
    <mergeCell ref="CQ8:CR8"/>
    <mergeCell ref="CJ6:CK6"/>
    <mergeCell ref="DE7:DF7"/>
    <mergeCell ref="CQ9:CR9"/>
    <mergeCell ref="AW36:AW37"/>
    <mergeCell ref="BG35:BG36"/>
    <mergeCell ref="DC2:DH2"/>
    <mergeCell ref="CH4:CM4"/>
    <mergeCell ref="DC5:DH5"/>
    <mergeCell ref="DE6:DF6"/>
    <mergeCell ref="CO3:CT3"/>
    <mergeCell ref="CV2:DA2"/>
    <mergeCell ref="CQ6:CR6"/>
    <mergeCell ref="DC3:DH3"/>
    <mergeCell ref="BK35:BK36"/>
    <mergeCell ref="CH3:CM3"/>
    <mergeCell ref="BT29:BW29"/>
    <mergeCell ref="BM28:BP28"/>
    <mergeCell ref="BM27:BR27"/>
    <mergeCell ref="BM34:BR34"/>
    <mergeCell ref="CH22:CM22"/>
    <mergeCell ref="CH23:CK23"/>
    <mergeCell ref="BF33:BK33"/>
    <mergeCell ref="BF29:BI29"/>
    <mergeCell ref="CC9:CD9"/>
    <mergeCell ref="CA4:CF4"/>
    <mergeCell ref="CC7:CD7"/>
    <mergeCell ref="CC8:CD8"/>
    <mergeCell ref="CC11:CD11"/>
    <mergeCell ref="BT14:BW14"/>
    <mergeCell ref="BV10:BW10"/>
    <mergeCell ref="BV12:BW12"/>
    <mergeCell ref="CA12:CD12"/>
    <mergeCell ref="BF35:BF36"/>
    <mergeCell ref="AP35:AP36"/>
    <mergeCell ref="AR36:AR37"/>
    <mergeCell ref="AS36:AS37"/>
    <mergeCell ref="AT36:AU37"/>
    <mergeCell ref="AY33:AY34"/>
    <mergeCell ref="AZ33:AZ34"/>
    <mergeCell ref="BA33:BB34"/>
    <mergeCell ref="BC33:BC34"/>
    <mergeCell ref="M35:M36"/>
    <mergeCell ref="N35:N36"/>
    <mergeCell ref="P34:P35"/>
    <mergeCell ref="Q34:Q35"/>
    <mergeCell ref="R34:S35"/>
    <mergeCell ref="T34:T35"/>
    <mergeCell ref="I34:N34"/>
    <mergeCell ref="P33:U33"/>
    <mergeCell ref="W34:AB34"/>
    <mergeCell ref="AD34:AI34"/>
    <mergeCell ref="AK34:AP34"/>
    <mergeCell ref="U34:U35"/>
    <mergeCell ref="W35:W36"/>
    <mergeCell ref="X35:X36"/>
    <mergeCell ref="AF35:AG36"/>
    <mergeCell ref="AH35:AH36"/>
    <mergeCell ref="AI35:AI36"/>
    <mergeCell ref="B23:E23"/>
    <mergeCell ref="B32:G32"/>
    <mergeCell ref="I32:N32"/>
    <mergeCell ref="AD32:AI32"/>
    <mergeCell ref="BF32:BK32"/>
    <mergeCell ref="AY28:BB28"/>
    <mergeCell ref="P31:U31"/>
    <mergeCell ref="W32:AB32"/>
    <mergeCell ref="B29:E29"/>
    <mergeCell ref="AR30:AU30"/>
    <mergeCell ref="I22:N22"/>
    <mergeCell ref="W22:AB22"/>
    <mergeCell ref="AD22:AI22"/>
    <mergeCell ref="I23:L23"/>
    <mergeCell ref="P22:S22"/>
    <mergeCell ref="AD23:AG23"/>
    <mergeCell ref="P25:U25"/>
    <mergeCell ref="BF24:BI24"/>
    <mergeCell ref="AR26:AU26"/>
    <mergeCell ref="BF23:BI23"/>
    <mergeCell ref="I25:L25"/>
    <mergeCell ref="W25:Z25"/>
    <mergeCell ref="P23:S23"/>
    <mergeCell ref="AR24:AU24"/>
    <mergeCell ref="AK23:AN23"/>
    <mergeCell ref="AD25:AG25"/>
    <mergeCell ref="BF22:BK22"/>
    <mergeCell ref="AK22:AP22"/>
    <mergeCell ref="AR22:AW22"/>
    <mergeCell ref="BF19:BK19"/>
    <mergeCell ref="AY23:BB23"/>
    <mergeCell ref="AY22:BB22"/>
    <mergeCell ref="BF20:BK20"/>
    <mergeCell ref="AY21:BB21"/>
    <mergeCell ref="AR23:AU23"/>
    <mergeCell ref="BH15:BI15"/>
    <mergeCell ref="AY18:BD18"/>
    <mergeCell ref="P19:U19"/>
    <mergeCell ref="W20:AB20"/>
    <mergeCell ref="AD20:AI20"/>
    <mergeCell ref="Y15:Z15"/>
    <mergeCell ref="AF15:AG15"/>
    <mergeCell ref="AT15:AU15"/>
    <mergeCell ref="W19:AB19"/>
    <mergeCell ref="P13:S13"/>
    <mergeCell ref="Y14:Z14"/>
    <mergeCell ref="AF14:AG14"/>
    <mergeCell ref="B13:E13"/>
    <mergeCell ref="AR12:AU12"/>
    <mergeCell ref="D12:E12"/>
    <mergeCell ref="K12:L12"/>
    <mergeCell ref="R12:S12"/>
    <mergeCell ref="AM12:AN12"/>
    <mergeCell ref="B19:G19"/>
    <mergeCell ref="AT14:AU14"/>
    <mergeCell ref="P20:U20"/>
    <mergeCell ref="I20:N20"/>
    <mergeCell ref="D14:E14"/>
    <mergeCell ref="AD19:AI19"/>
    <mergeCell ref="D15:E15"/>
    <mergeCell ref="I19:N19"/>
    <mergeCell ref="P18:U18"/>
    <mergeCell ref="B20:G20"/>
    <mergeCell ref="I11:L11"/>
    <mergeCell ref="AK11:AN11"/>
    <mergeCell ref="W12:Z12"/>
    <mergeCell ref="K13:L13"/>
    <mergeCell ref="AM13:AN13"/>
    <mergeCell ref="R9:S9"/>
    <mergeCell ref="Y9:Z9"/>
    <mergeCell ref="AF9:AG9"/>
    <mergeCell ref="AM9:AN9"/>
    <mergeCell ref="K10:L10"/>
    <mergeCell ref="AK5:AP5"/>
    <mergeCell ref="AR5:AW5"/>
    <mergeCell ref="AY5:BD5"/>
    <mergeCell ref="AT6:AU6"/>
    <mergeCell ref="BA8:BB8"/>
    <mergeCell ref="AM8:AN8"/>
    <mergeCell ref="AM6:AN6"/>
    <mergeCell ref="BF5:BK5"/>
    <mergeCell ref="BM5:BR5"/>
    <mergeCell ref="BT5:BY5"/>
    <mergeCell ref="AR4:AW4"/>
    <mergeCell ref="AY4:BD4"/>
    <mergeCell ref="BF4:BK4"/>
    <mergeCell ref="BM4:BR4"/>
    <mergeCell ref="BT4:BY4"/>
    <mergeCell ref="B5:G5"/>
    <mergeCell ref="I5:N5"/>
    <mergeCell ref="P5:U5"/>
    <mergeCell ref="W5:AB5"/>
    <mergeCell ref="AD5:AI5"/>
    <mergeCell ref="B4:G4"/>
    <mergeCell ref="I4:N4"/>
    <mergeCell ref="P4:U4"/>
    <mergeCell ref="W4:AB4"/>
    <mergeCell ref="AD4:AI4"/>
    <mergeCell ref="AK4:AP4"/>
    <mergeCell ref="AK3:AP3"/>
    <mergeCell ref="AR3:AW3"/>
    <mergeCell ref="AY3:BD3"/>
    <mergeCell ref="BF3:BK3"/>
    <mergeCell ref="BM3:BR3"/>
    <mergeCell ref="BT3:BY3"/>
    <mergeCell ref="AR2:AW2"/>
    <mergeCell ref="AY2:BD2"/>
    <mergeCell ref="BF2:BK2"/>
    <mergeCell ref="BM2:BR2"/>
    <mergeCell ref="BT2:BY2"/>
    <mergeCell ref="B3:G3"/>
    <mergeCell ref="I3:N3"/>
    <mergeCell ref="P3:U3"/>
    <mergeCell ref="W3:AB3"/>
    <mergeCell ref="AD3:AI3"/>
    <mergeCell ref="B2:G2"/>
    <mergeCell ref="I2:N2"/>
    <mergeCell ref="P2:U2"/>
    <mergeCell ref="W2:AB2"/>
    <mergeCell ref="AD2:AI2"/>
    <mergeCell ref="AK2:AP2"/>
    <mergeCell ref="BA6:BB6"/>
    <mergeCell ref="BH6:BI6"/>
    <mergeCell ref="BO6:BP6"/>
    <mergeCell ref="BV6:BW6"/>
    <mergeCell ref="D7:E7"/>
    <mergeCell ref="K7:L7"/>
    <mergeCell ref="Y7:Z7"/>
    <mergeCell ref="AF7:AG7"/>
    <mergeCell ref="AM7:AN7"/>
    <mergeCell ref="D6:E6"/>
    <mergeCell ref="D8:E8"/>
    <mergeCell ref="K8:L8"/>
    <mergeCell ref="R8:S8"/>
    <mergeCell ref="Y8:Z8"/>
    <mergeCell ref="AF8:AG8"/>
    <mergeCell ref="K6:L6"/>
    <mergeCell ref="R6:S6"/>
    <mergeCell ref="Y6:Z6"/>
    <mergeCell ref="AF6:AG6"/>
    <mergeCell ref="BO8:BP8"/>
    <mergeCell ref="BV8:BW8"/>
    <mergeCell ref="AT7:AU7"/>
    <mergeCell ref="BA7:BB7"/>
    <mergeCell ref="BH7:BI7"/>
    <mergeCell ref="BO7:BP7"/>
    <mergeCell ref="BV7:BW7"/>
    <mergeCell ref="AT8:AU8"/>
    <mergeCell ref="R10:S10"/>
    <mergeCell ref="Y10:Z10"/>
    <mergeCell ref="AF10:AG10"/>
    <mergeCell ref="AM10:AN10"/>
    <mergeCell ref="AT10:AU10"/>
    <mergeCell ref="D9:E9"/>
    <mergeCell ref="K9:L9"/>
    <mergeCell ref="D10:E10"/>
    <mergeCell ref="AT9:AU9"/>
    <mergeCell ref="BA9:BB9"/>
    <mergeCell ref="BH9:BI9"/>
    <mergeCell ref="BO9:BP9"/>
    <mergeCell ref="BV9:BW9"/>
    <mergeCell ref="BA10:BB10"/>
    <mergeCell ref="AF11:AG11"/>
    <mergeCell ref="AT11:AU11"/>
    <mergeCell ref="BV11:BW11"/>
    <mergeCell ref="CX7:CY7"/>
    <mergeCell ref="CX8:CY8"/>
    <mergeCell ref="CX9:CY9"/>
    <mergeCell ref="CX10:CY10"/>
    <mergeCell ref="CX11:CY11"/>
    <mergeCell ref="BH8:BI8"/>
    <mergeCell ref="BH10:BI10"/>
    <mergeCell ref="BO10:BP10"/>
    <mergeCell ref="BH11:BI11"/>
    <mergeCell ref="BO11:BP11"/>
    <mergeCell ref="D11:E11"/>
    <mergeCell ref="R11:S11"/>
    <mergeCell ref="Y11:Z11"/>
    <mergeCell ref="BH12:BI12"/>
    <mergeCell ref="AY19:BD19"/>
    <mergeCell ref="BT22:BY22"/>
    <mergeCell ref="AY20:BD20"/>
    <mergeCell ref="AY17:BD17"/>
    <mergeCell ref="BA12:BB12"/>
    <mergeCell ref="BF16:BI16"/>
    <mergeCell ref="AY13:BB13"/>
    <mergeCell ref="BH13:BI13"/>
    <mergeCell ref="BM22:BR22"/>
    <mergeCell ref="AK20:AP20"/>
    <mergeCell ref="AR19:AW19"/>
    <mergeCell ref="AR20:AW20"/>
    <mergeCell ref="AK21:AP21"/>
    <mergeCell ref="BF21:BK21"/>
    <mergeCell ref="AR21:AW21"/>
    <mergeCell ref="AK19:AP19"/>
    <mergeCell ref="B21:G21"/>
    <mergeCell ref="B25:E25"/>
    <mergeCell ref="P24:S24"/>
    <mergeCell ref="AD21:AI21"/>
    <mergeCell ref="P21:U21"/>
    <mergeCell ref="W23:Z23"/>
    <mergeCell ref="W24:Z24"/>
    <mergeCell ref="I21:N21"/>
    <mergeCell ref="W21:AB21"/>
    <mergeCell ref="B22:G22"/>
    <mergeCell ref="BF25:BI25"/>
    <mergeCell ref="AY30:BD30"/>
    <mergeCell ref="AY27:BB27"/>
    <mergeCell ref="AD27:AI27"/>
    <mergeCell ref="AR25:AU25"/>
    <mergeCell ref="AD24:AG24"/>
    <mergeCell ref="BF30:BI30"/>
    <mergeCell ref="AR29:AU29"/>
    <mergeCell ref="AR28:AW28"/>
    <mergeCell ref="BF27:BK27"/>
    <mergeCell ref="P32:U32"/>
    <mergeCell ref="B27:G27"/>
    <mergeCell ref="P26:U26"/>
    <mergeCell ref="AK27:AP27"/>
    <mergeCell ref="AY25:BD25"/>
    <mergeCell ref="I29:L29"/>
    <mergeCell ref="P28:S28"/>
    <mergeCell ref="W29:Z29"/>
    <mergeCell ref="AD29:AG29"/>
    <mergeCell ref="B30:E30"/>
    <mergeCell ref="P29:S29"/>
    <mergeCell ref="W30:Z30"/>
    <mergeCell ref="AK30:AN30"/>
    <mergeCell ref="I30:L30"/>
    <mergeCell ref="AD30:AG30"/>
    <mergeCell ref="AK29:AN29"/>
    <mergeCell ref="B34:G34"/>
    <mergeCell ref="AR35:AW35"/>
    <mergeCell ref="BF34:BK34"/>
    <mergeCell ref="B33:G33"/>
    <mergeCell ref="I33:N33"/>
    <mergeCell ref="BM33:BR33"/>
    <mergeCell ref="AR33:AW33"/>
    <mergeCell ref="W33:AB33"/>
    <mergeCell ref="AD33:AI33"/>
    <mergeCell ref="AE35:AE36"/>
    <mergeCell ref="AK35:AK36"/>
    <mergeCell ref="AY31:BD31"/>
    <mergeCell ref="AR31:AU31"/>
    <mergeCell ref="AK32:AP32"/>
    <mergeCell ref="AR34:AW34"/>
    <mergeCell ref="AY32:BD32"/>
    <mergeCell ref="BD33:BD34"/>
    <mergeCell ref="AL35:AL36"/>
    <mergeCell ref="AM35:AN36"/>
    <mergeCell ref="B35:B36"/>
    <mergeCell ref="C35:C36"/>
    <mergeCell ref="D35:E36"/>
    <mergeCell ref="F35:F36"/>
    <mergeCell ref="AO35:AO36"/>
    <mergeCell ref="AK33:AP33"/>
    <mergeCell ref="Y35:Z36"/>
    <mergeCell ref="AA35:AA36"/>
    <mergeCell ref="AB35:AB36"/>
    <mergeCell ref="AD35:AD36"/>
    <mergeCell ref="P38:S38"/>
    <mergeCell ref="W39:Z39"/>
    <mergeCell ref="AK39:AN39"/>
    <mergeCell ref="AY37:BB37"/>
    <mergeCell ref="BM39:BP39"/>
    <mergeCell ref="AY38:BB38"/>
    <mergeCell ref="BF39:BI39"/>
    <mergeCell ref="B40:E40"/>
    <mergeCell ref="I40:L40"/>
    <mergeCell ref="W40:Z40"/>
    <mergeCell ref="AD40:AG40"/>
    <mergeCell ref="AY39:BB39"/>
    <mergeCell ref="P39:S39"/>
    <mergeCell ref="AK40:AN40"/>
    <mergeCell ref="B39:E39"/>
    <mergeCell ref="AR40:AU40"/>
    <mergeCell ref="CX35:CY36"/>
    <mergeCell ref="I39:L39"/>
    <mergeCell ref="AD39:AG39"/>
    <mergeCell ref="BT39:BW39"/>
    <mergeCell ref="G35:G36"/>
    <mergeCell ref="I35:I36"/>
    <mergeCell ref="J35:J36"/>
    <mergeCell ref="K35:L36"/>
    <mergeCell ref="AV36:AV37"/>
    <mergeCell ref="BH35:BI36"/>
    <mergeCell ref="CX12:CY12"/>
    <mergeCell ref="CV27:DA27"/>
    <mergeCell ref="BF41:BI41"/>
    <mergeCell ref="CV21:DA21"/>
    <mergeCell ref="CV22:DA22"/>
    <mergeCell ref="CV39:CY39"/>
    <mergeCell ref="CV34:DA34"/>
    <mergeCell ref="CV23:CY23"/>
    <mergeCell ref="CV24:CY24"/>
    <mergeCell ref="CV32:DA32"/>
    <mergeCell ref="CV35:CV36"/>
    <mergeCell ref="I41:L41"/>
    <mergeCell ref="P40:S40"/>
    <mergeCell ref="W41:Z41"/>
    <mergeCell ref="AD41:AG41"/>
    <mergeCell ref="AK41:AN41"/>
    <mergeCell ref="AR41:AU41"/>
    <mergeCell ref="BF40:BI40"/>
    <mergeCell ref="BJ35:BJ36"/>
    <mergeCell ref="BT40:BW40"/>
    <mergeCell ref="CZ35:CZ36"/>
    <mergeCell ref="DA35:DA36"/>
    <mergeCell ref="CV4:DA4"/>
    <mergeCell ref="CV5:DA5"/>
    <mergeCell ref="CV3:DA3"/>
    <mergeCell ref="CV25:CY25"/>
    <mergeCell ref="CV26:DA26"/>
    <mergeCell ref="CV33:DA33"/>
    <mergeCell ref="CV20:DA20"/>
    <mergeCell ref="CW35:CW36"/>
    <mergeCell ref="GB2:GG2"/>
    <mergeCell ref="GB3:GG3"/>
    <mergeCell ref="GB4:GG4"/>
    <mergeCell ref="GB5:GG5"/>
    <mergeCell ref="GD6:GE6"/>
    <mergeCell ref="GD7:GE7"/>
    <mergeCell ref="GD8:GE8"/>
    <mergeCell ref="GD9:GE9"/>
    <mergeCell ref="GD10:GE10"/>
    <mergeCell ref="GD11:GE11"/>
    <mergeCell ref="GD12:GE12"/>
    <mergeCell ref="GB13:GE13"/>
    <mergeCell ref="GD14:GE14"/>
    <mergeCell ref="GD15:GE15"/>
    <mergeCell ref="GB19:GG19"/>
    <mergeCell ref="GB20:GG20"/>
    <mergeCell ref="GB21:GG21"/>
    <mergeCell ref="GB22:GG22"/>
    <mergeCell ref="GD35:GE36"/>
    <mergeCell ref="GF35:GF36"/>
    <mergeCell ref="GG35:GG36"/>
    <mergeCell ref="GB23:GE23"/>
    <mergeCell ref="GB24:GE24"/>
    <mergeCell ref="GB25:GE25"/>
    <mergeCell ref="GB26:GG26"/>
    <mergeCell ref="GB27:GG27"/>
    <mergeCell ref="GB28:GE28"/>
    <mergeCell ref="GB39:GE39"/>
    <mergeCell ref="GB40:GE40"/>
    <mergeCell ref="GB41:GE41"/>
    <mergeCell ref="GB29:GE29"/>
    <mergeCell ref="GB30:GE30"/>
    <mergeCell ref="GB32:GG32"/>
    <mergeCell ref="GB33:GG33"/>
    <mergeCell ref="GB34:GG34"/>
    <mergeCell ref="GB35:GB36"/>
    <mergeCell ref="GC35:GC36"/>
  </mergeCells>
  <printOptions/>
  <pageMargins left="0.5118110236220472" right="0.5118110236220472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8" width="15.281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316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15</v>
      </c>
      <c r="C8" s="431"/>
      <c r="D8" s="104" t="s">
        <v>427</v>
      </c>
      <c r="E8" s="104"/>
      <c r="F8" s="104"/>
      <c r="G8" s="105">
        <f>SUM(B8:F8)</f>
        <v>15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Roteiros!M25</f>
        <v>18.250439999999998</v>
      </c>
      <c r="C10" s="433"/>
      <c r="D10" s="108">
        <f>Roteiros!M30</f>
        <v>18.250439999999998</v>
      </c>
      <c r="E10" s="108">
        <v>0</v>
      </c>
      <c r="F10" s="108">
        <v>0</v>
      </c>
      <c r="G10" s="107">
        <f>SUM(B10:F10)</f>
        <v>36.500879999999995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36.500879999999995</v>
      </c>
      <c r="H11" s="103"/>
      <c r="I11" s="103"/>
    </row>
    <row r="12" spans="1:10" ht="15.75">
      <c r="A12" s="258" t="s">
        <v>113</v>
      </c>
      <c r="B12" s="428" t="s">
        <v>436</v>
      </c>
      <c r="C12" s="429"/>
      <c r="D12" s="102" t="s">
        <v>436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>
        <v>0</v>
      </c>
    </row>
    <row r="13" spans="1:10" ht="15.75">
      <c r="A13" s="258" t="s">
        <v>115</v>
      </c>
      <c r="B13" s="428">
        <f>B10/30</f>
        <v>0.6083479999999999</v>
      </c>
      <c r="C13" s="429"/>
      <c r="D13" s="102">
        <f>D10/30</f>
        <v>0.6083479999999999</v>
      </c>
      <c r="E13" s="102">
        <f>E10/30</f>
        <v>0</v>
      </c>
      <c r="F13" s="102">
        <f>F10/30</f>
        <v>0</v>
      </c>
      <c r="G13" s="107">
        <f>SUM(B13:F13)</f>
        <v>1.2166959999999998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3.2166959999999998</v>
      </c>
      <c r="H15" s="111"/>
      <c r="I15" s="111"/>
      <c r="J15" s="111">
        <f>((D13-J12)/100)*60</f>
        <v>0.3650087999999999</v>
      </c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17.78988888888889</v>
      </c>
      <c r="H16" s="103"/>
      <c r="I16" s="103"/>
    </row>
    <row r="17" spans="1:9" ht="15.75">
      <c r="A17" s="109" t="s">
        <v>118</v>
      </c>
      <c r="B17" s="414" t="s">
        <v>252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110000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730.0175999999999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1140.6525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547.5131999999999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94.53241241599999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1782.6981124159997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730.0175999999999</v>
      </c>
      <c r="G31" s="276">
        <f>H30</f>
        <v>0.12949333333333332</v>
      </c>
      <c r="H31" s="286">
        <f>_xlfn.IFERROR(F31*G31,0)</f>
        <v>94.53241241599999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11825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5186.866666666667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54311.558842454404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1985.2701600259966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0.36553363636363634</v>
      </c>
      <c r="C44" s="121"/>
      <c r="D44" s="145" t="s">
        <v>138</v>
      </c>
      <c r="E44" s="146" t="s">
        <v>2</v>
      </c>
      <c r="F44" s="147">
        <v>1</v>
      </c>
      <c r="G44" s="148">
        <f>G18</f>
        <v>110000</v>
      </c>
      <c r="H44" s="149">
        <f>F44*G44</f>
        <v>110000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110000</v>
      </c>
      <c r="H47" s="154">
        <f>F47*G47/100</f>
        <v>77803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77803</v>
      </c>
      <c r="H48" s="163">
        <f>_xlfn.IFERROR(G48/F48,0)*12</f>
        <v>5186.866666666667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3767.9682724419963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3767.9682724419963</v>
      </c>
      <c r="F54" s="149">
        <f>D54*E54/1</f>
        <v>1128.5064975963778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1128.5064975963778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1128.5064975963778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4896.474770038374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6.707337973821966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1782.6981124159997</v>
      </c>
      <c r="G65" s="202">
        <f>F65/$F$74</f>
        <v>0.3640778715586088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1140.6525</v>
      </c>
      <c r="G66" s="206">
        <f aca="true" t="shared" si="0" ref="G66:G72">F66/$F$74</f>
        <v>0.23295381954782554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547.5131999999999</v>
      </c>
      <c r="G67" s="206">
        <f t="shared" si="0"/>
        <v>0.11181783338295624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94.53241241599999</v>
      </c>
      <c r="G68" s="206">
        <f t="shared" si="0"/>
        <v>0.01930621862782704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1985.2701600259966</v>
      </c>
      <c r="G69" s="202">
        <f t="shared" si="0"/>
        <v>0.40544886949564285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1985.2701600259966</v>
      </c>
      <c r="G70" s="206">
        <f>F70/$F$74</f>
        <v>0.40544886949564285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3767.9682724419963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1128.5064975963778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4896.474770038374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36.500879999999995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730.0175999999999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6.707337973821966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284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254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36.500879999999995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6.707337973821966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20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8:F18"/>
    <mergeCell ref="B7:C7"/>
    <mergeCell ref="B8:C8"/>
    <mergeCell ref="B10:C10"/>
    <mergeCell ref="B12:C12"/>
    <mergeCell ref="B13:C13"/>
    <mergeCell ref="A16:F16"/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23">
      <selection activeCell="A1" sqref="A1:J1"/>
    </sheetView>
  </sheetViews>
  <sheetFormatPr defaultColWidth="9.140625" defaultRowHeight="12.75"/>
  <cols>
    <col min="1" max="1" width="13.57421875" style="1" customWidth="1"/>
    <col min="2" max="2" width="39.57421875" style="1" bestFit="1" customWidth="1"/>
    <col min="3" max="3" width="20.8515625" style="1" customWidth="1"/>
    <col min="4" max="4" width="37.28125" style="16" customWidth="1"/>
    <col min="5" max="10" width="9.140625" style="1" customWidth="1"/>
    <col min="11" max="11" width="11.00390625" style="1" bestFit="1" customWidth="1"/>
    <col min="12" max="16384" width="9.140625" style="1" customWidth="1"/>
  </cols>
  <sheetData>
    <row r="1" ht="12.75">
      <c r="A1" s="6" t="s">
        <v>84</v>
      </c>
    </row>
    <row r="2" ht="12.75">
      <c r="A2" s="91" t="s">
        <v>194</v>
      </c>
    </row>
    <row r="3" spans="2:7" s="2" customFormat="1" ht="15" customHeight="1">
      <c r="B3" s="9"/>
      <c r="C3" s="9"/>
      <c r="D3" s="9"/>
      <c r="E3" s="9"/>
      <c r="F3" s="9"/>
      <c r="G3" s="4"/>
    </row>
    <row r="4" spans="1:7" s="2" customFormat="1" ht="15" customHeight="1" hidden="1">
      <c r="A4" s="93" t="s">
        <v>98</v>
      </c>
      <c r="B4" s="9"/>
      <c r="C4" s="9"/>
      <c r="D4" s="9"/>
      <c r="E4" s="9"/>
      <c r="F4" s="9"/>
      <c r="G4" s="4"/>
    </row>
    <row r="5" spans="1:7" s="2" customFormat="1" ht="16.5" customHeight="1">
      <c r="A5" s="94" t="s">
        <v>101</v>
      </c>
      <c r="B5" s="3"/>
      <c r="C5" s="3"/>
      <c r="D5" s="4"/>
      <c r="E5" s="4"/>
      <c r="F5" s="4"/>
      <c r="G5" s="4"/>
    </row>
    <row r="6" spans="1:7" s="2" customFormat="1" ht="16.5" customHeight="1">
      <c r="A6" s="94" t="s">
        <v>102</v>
      </c>
      <c r="B6" s="3"/>
      <c r="C6" s="3"/>
      <c r="D6" s="4"/>
      <c r="E6" s="4"/>
      <c r="F6" s="4"/>
      <c r="G6" s="4"/>
    </row>
    <row r="7" ht="13.5" thickBot="1"/>
    <row r="8" spans="1:6" ht="18">
      <c r="A8" s="513" t="s">
        <v>90</v>
      </c>
      <c r="B8" s="514"/>
      <c r="C8" s="515"/>
      <c r="D8" s="15"/>
      <c r="E8" s="15"/>
      <c r="F8" s="15"/>
    </row>
    <row r="9" spans="1:4" ht="14.25">
      <c r="A9" s="21" t="s">
        <v>29</v>
      </c>
      <c r="B9" s="22" t="s">
        <v>30</v>
      </c>
      <c r="C9" s="23" t="s">
        <v>31</v>
      </c>
      <c r="D9" s="24"/>
    </row>
    <row r="10" spans="1:12" ht="14.25">
      <c r="A10" s="21" t="s">
        <v>32</v>
      </c>
      <c r="B10" s="22" t="s">
        <v>7</v>
      </c>
      <c r="C10" s="25"/>
      <c r="D10" s="24"/>
      <c r="F10" s="16"/>
      <c r="G10" s="16"/>
      <c r="H10" s="16"/>
      <c r="I10" s="16"/>
      <c r="J10" s="16"/>
      <c r="K10" s="16"/>
      <c r="L10" s="16"/>
    </row>
    <row r="11" spans="1:12" ht="14.25">
      <c r="A11" s="21" t="s">
        <v>33</v>
      </c>
      <c r="B11" s="22" t="s">
        <v>34</v>
      </c>
      <c r="C11" s="25"/>
      <c r="D11" s="24"/>
      <c r="F11" s="16"/>
      <c r="G11" s="16"/>
      <c r="H11" s="16"/>
      <c r="I11" s="16"/>
      <c r="J11" s="16"/>
      <c r="K11" s="16"/>
      <c r="L11" s="16"/>
    </row>
    <row r="12" spans="1:12" ht="14.25">
      <c r="A12" s="21" t="s">
        <v>35</v>
      </c>
      <c r="B12" s="22" t="s">
        <v>36</v>
      </c>
      <c r="C12" s="25"/>
      <c r="D12" s="24"/>
      <c r="F12" s="16"/>
      <c r="G12" s="16"/>
      <c r="H12" s="16"/>
      <c r="I12" s="16"/>
      <c r="J12" s="16"/>
      <c r="K12" s="16"/>
      <c r="L12" s="16"/>
    </row>
    <row r="13" spans="1:12" ht="14.25">
      <c r="A13" s="21" t="s">
        <v>37</v>
      </c>
      <c r="B13" s="22" t="s">
        <v>38</v>
      </c>
      <c r="C13" s="25"/>
      <c r="D13" s="24"/>
      <c r="F13" s="16"/>
      <c r="G13" s="16"/>
      <c r="H13" s="16"/>
      <c r="I13" s="16"/>
      <c r="J13" s="16"/>
      <c r="K13" s="16"/>
      <c r="L13" s="16"/>
    </row>
    <row r="14" spans="1:12" ht="14.25">
      <c r="A14" s="21" t="s">
        <v>39</v>
      </c>
      <c r="B14" s="22" t="s">
        <v>40</v>
      </c>
      <c r="C14" s="25"/>
      <c r="D14" s="24"/>
      <c r="F14" s="16"/>
      <c r="G14" s="16"/>
      <c r="H14" s="16"/>
      <c r="I14" s="16"/>
      <c r="J14" s="16"/>
      <c r="K14" s="16"/>
      <c r="L14" s="16"/>
    </row>
    <row r="15" spans="1:12" ht="14.25">
      <c r="A15" s="21" t="s">
        <v>41</v>
      </c>
      <c r="B15" s="22" t="s">
        <v>42</v>
      </c>
      <c r="C15" s="25"/>
      <c r="D15" s="24"/>
      <c r="F15" s="16"/>
      <c r="G15" s="16"/>
      <c r="H15" s="16"/>
      <c r="I15" s="16"/>
      <c r="J15" s="16"/>
      <c r="K15" s="16"/>
      <c r="L15" s="16"/>
    </row>
    <row r="16" spans="1:12" ht="14.25">
      <c r="A16" s="21" t="s">
        <v>43</v>
      </c>
      <c r="B16" s="22" t="s">
        <v>44</v>
      </c>
      <c r="C16" s="25"/>
      <c r="D16" s="24"/>
      <c r="F16" s="16"/>
      <c r="G16" s="16"/>
      <c r="H16" s="16"/>
      <c r="I16" s="16"/>
      <c r="J16" s="16"/>
      <c r="K16" s="16"/>
      <c r="L16" s="16"/>
    </row>
    <row r="17" spans="1:12" ht="14.25">
      <c r="A17" s="21" t="s">
        <v>45</v>
      </c>
      <c r="B17" s="22" t="s">
        <v>8</v>
      </c>
      <c r="C17" s="25">
        <v>0.08</v>
      </c>
      <c r="D17" s="26"/>
      <c r="F17" s="16"/>
      <c r="G17" s="16"/>
      <c r="H17" s="16"/>
      <c r="I17" s="16"/>
      <c r="J17" s="16"/>
      <c r="K17" s="16"/>
      <c r="L17" s="16"/>
    </row>
    <row r="18" spans="1:12" ht="15">
      <c r="A18" s="21" t="s">
        <v>46</v>
      </c>
      <c r="B18" s="27" t="s">
        <v>47</v>
      </c>
      <c r="C18" s="28">
        <f>SUM(C10:C17)</f>
        <v>0.08</v>
      </c>
      <c r="D18" s="26"/>
      <c r="F18" s="16"/>
      <c r="G18" s="16"/>
      <c r="H18" s="16"/>
      <c r="I18" s="16"/>
      <c r="J18" s="16"/>
      <c r="K18" s="16"/>
      <c r="L18" s="16"/>
    </row>
    <row r="19" spans="1:12" ht="15">
      <c r="A19" s="29"/>
      <c r="B19" s="30"/>
      <c r="C19" s="31"/>
      <c r="D19" s="26"/>
      <c r="F19" s="16"/>
      <c r="G19" s="16"/>
      <c r="H19" s="16"/>
      <c r="I19" s="16"/>
      <c r="J19" s="16"/>
      <c r="K19" s="16"/>
      <c r="L19" s="16"/>
    </row>
    <row r="20" spans="1:12" ht="14.25">
      <c r="A20" s="21" t="s">
        <v>48</v>
      </c>
      <c r="B20" s="32" t="s">
        <v>49</v>
      </c>
      <c r="C20" s="25">
        <v>0.0657</v>
      </c>
      <c r="D20" s="26"/>
      <c r="F20" s="16"/>
      <c r="G20" s="16"/>
      <c r="H20" s="16"/>
      <c r="I20" s="16"/>
      <c r="J20" s="16"/>
      <c r="K20" s="16"/>
      <c r="L20" s="16"/>
    </row>
    <row r="21" spans="1:12" ht="14.25">
      <c r="A21" s="21" t="s">
        <v>50</v>
      </c>
      <c r="B21" s="32" t="s">
        <v>51</v>
      </c>
      <c r="C21" s="25">
        <v>0.0833</v>
      </c>
      <c r="D21" s="26"/>
      <c r="F21" s="16"/>
      <c r="G21" s="16"/>
      <c r="H21" s="16"/>
      <c r="I21" s="16"/>
      <c r="J21" s="16"/>
      <c r="K21" s="16"/>
      <c r="L21" s="16"/>
    </row>
    <row r="22" spans="1:12" ht="14.25">
      <c r="A22" s="21" t="s">
        <v>89</v>
      </c>
      <c r="B22" s="32" t="s">
        <v>53</v>
      </c>
      <c r="C22" s="25">
        <v>0.0006</v>
      </c>
      <c r="D22" s="26"/>
      <c r="F22" s="16"/>
      <c r="G22" s="16"/>
      <c r="H22" s="16"/>
      <c r="I22" s="16"/>
      <c r="J22" s="16"/>
      <c r="K22" s="16"/>
      <c r="L22" s="16"/>
    </row>
    <row r="23" spans="1:12" ht="14.25">
      <c r="A23" s="21" t="s">
        <v>52</v>
      </c>
      <c r="B23" s="32" t="s">
        <v>55</v>
      </c>
      <c r="C23" s="25">
        <v>0.0082</v>
      </c>
      <c r="D23" s="26"/>
      <c r="F23" s="16"/>
      <c r="G23" s="16"/>
      <c r="H23" s="16"/>
      <c r="I23" s="16"/>
      <c r="J23" s="16"/>
      <c r="K23" s="16"/>
      <c r="L23" s="16"/>
    </row>
    <row r="24" spans="1:12" ht="14.25">
      <c r="A24" s="21" t="s">
        <v>54</v>
      </c>
      <c r="B24" s="32" t="s">
        <v>57</v>
      </c>
      <c r="C24" s="25">
        <v>0.0031</v>
      </c>
      <c r="D24" s="26"/>
      <c r="F24" s="16"/>
      <c r="G24" s="16"/>
      <c r="H24" s="16"/>
      <c r="I24" s="16"/>
      <c r="J24" s="16"/>
      <c r="K24" s="16"/>
      <c r="L24" s="16"/>
    </row>
    <row r="25" spans="1:12" ht="14.25">
      <c r="A25" s="21" t="s">
        <v>56</v>
      </c>
      <c r="B25" s="32" t="s">
        <v>58</v>
      </c>
      <c r="C25" s="25">
        <v>0.0166</v>
      </c>
      <c r="D25" s="26"/>
      <c r="F25" s="16"/>
      <c r="G25" s="16"/>
      <c r="H25" s="16"/>
      <c r="I25" s="16"/>
      <c r="J25" s="16"/>
      <c r="K25" s="16"/>
      <c r="L25" s="16"/>
    </row>
    <row r="26" spans="1:12" ht="15">
      <c r="A26" s="21" t="s">
        <v>59</v>
      </c>
      <c r="B26" s="27" t="s">
        <v>60</v>
      </c>
      <c r="C26" s="28">
        <f>SUM(C20:C25)</f>
        <v>0.1775</v>
      </c>
      <c r="D26" s="33"/>
      <c r="F26" s="16"/>
      <c r="G26" s="16"/>
      <c r="H26" s="16"/>
      <c r="I26" s="16"/>
      <c r="J26" s="16"/>
      <c r="K26" s="16"/>
      <c r="L26" s="16"/>
    </row>
    <row r="27" spans="1:12" ht="15">
      <c r="A27" s="29"/>
      <c r="B27" s="30"/>
      <c r="C27" s="31"/>
      <c r="D27" s="33"/>
      <c r="F27" s="16"/>
      <c r="G27" s="16"/>
      <c r="H27" s="16"/>
      <c r="I27" s="16"/>
      <c r="J27" s="16"/>
      <c r="K27" s="16"/>
      <c r="L27" s="16"/>
    </row>
    <row r="28" spans="1:12" ht="14.25">
      <c r="A28" s="21" t="s">
        <v>61</v>
      </c>
      <c r="B28" s="22" t="s">
        <v>62</v>
      </c>
      <c r="C28" s="25">
        <v>0.029</v>
      </c>
      <c r="D28" s="26"/>
      <c r="E28" s="34"/>
      <c r="F28" s="16"/>
      <c r="G28" s="16"/>
      <c r="H28" s="16"/>
      <c r="I28" s="16"/>
      <c r="J28" s="16"/>
      <c r="K28" s="16"/>
      <c r="L28" s="16"/>
    </row>
    <row r="29" spans="1:12" ht="14.25">
      <c r="A29" s="21" t="s">
        <v>88</v>
      </c>
      <c r="B29" s="22" t="s">
        <v>64</v>
      </c>
      <c r="C29" s="25">
        <v>0.0454</v>
      </c>
      <c r="D29" s="26"/>
      <c r="F29" s="16"/>
      <c r="G29" s="16"/>
      <c r="H29" s="35"/>
      <c r="I29" s="16"/>
      <c r="J29" s="16"/>
      <c r="K29" s="16"/>
      <c r="L29" s="16"/>
    </row>
    <row r="30" spans="1:12" ht="14.25">
      <c r="A30" s="21" t="s">
        <v>63</v>
      </c>
      <c r="B30" s="22" t="s">
        <v>66</v>
      </c>
      <c r="C30" s="25">
        <f>C28*C29</f>
        <v>0.0013166000000000002</v>
      </c>
      <c r="D30" s="26"/>
      <c r="E30" s="34"/>
      <c r="F30" s="16"/>
      <c r="G30" s="16"/>
      <c r="H30" s="16"/>
      <c r="I30" s="16"/>
      <c r="J30" s="16"/>
      <c r="K30" s="16"/>
      <c r="L30" s="16"/>
    </row>
    <row r="31" spans="1:12" ht="14.25">
      <c r="A31" s="21" t="s">
        <v>65</v>
      </c>
      <c r="B31" s="22" t="s">
        <v>68</v>
      </c>
      <c r="C31" s="25">
        <v>0.025</v>
      </c>
      <c r="D31" s="26"/>
      <c r="F31" s="16"/>
      <c r="G31" s="36"/>
      <c r="H31" s="16"/>
      <c r="I31" s="16"/>
      <c r="J31" s="16"/>
      <c r="K31" s="16"/>
      <c r="L31" s="16"/>
    </row>
    <row r="32" spans="1:12" ht="14.25">
      <c r="A32" s="21" t="s">
        <v>67</v>
      </c>
      <c r="B32" s="22" t="s">
        <v>69</v>
      </c>
      <c r="C32" s="25">
        <v>0.002</v>
      </c>
      <c r="D32" s="26"/>
      <c r="F32" s="16"/>
      <c r="G32" s="16"/>
      <c r="H32" s="16"/>
      <c r="I32" s="16"/>
      <c r="J32" s="16"/>
      <c r="K32" s="16"/>
      <c r="L32" s="16"/>
    </row>
    <row r="33" spans="1:12" ht="15">
      <c r="A33" s="21" t="s">
        <v>70</v>
      </c>
      <c r="B33" s="27" t="s">
        <v>71</v>
      </c>
      <c r="C33" s="28">
        <f>SUM(C28:C32)</f>
        <v>0.10271660000000002</v>
      </c>
      <c r="D33" s="33"/>
      <c r="F33" s="16"/>
      <c r="G33" s="16"/>
      <c r="H33" s="16"/>
      <c r="I33" s="16"/>
      <c r="J33" s="16"/>
      <c r="K33" s="16"/>
      <c r="L33" s="16"/>
    </row>
    <row r="34" spans="1:12" ht="15">
      <c r="A34" s="29"/>
      <c r="B34" s="30"/>
      <c r="C34" s="31"/>
      <c r="D34" s="33"/>
      <c r="F34" s="16"/>
      <c r="G34" s="16"/>
      <c r="H34" s="16"/>
      <c r="I34" s="16"/>
      <c r="J34" s="16"/>
      <c r="K34" s="16"/>
      <c r="L34" s="16"/>
    </row>
    <row r="35" spans="1:12" ht="14.25">
      <c r="A35" s="21" t="s">
        <v>72</v>
      </c>
      <c r="B35" s="22" t="s">
        <v>73</v>
      </c>
      <c r="C35" s="25">
        <f>ROUND(C18*C26,4)</f>
        <v>0.0142</v>
      </c>
      <c r="D35" s="26"/>
      <c r="F35" s="16"/>
      <c r="G35" s="16"/>
      <c r="H35" s="16"/>
      <c r="I35" s="16"/>
      <c r="J35" s="16"/>
      <c r="K35" s="16"/>
      <c r="L35" s="16"/>
    </row>
    <row r="36" spans="1:12" ht="28.5">
      <c r="A36" s="21" t="s">
        <v>74</v>
      </c>
      <c r="B36" s="37" t="s">
        <v>97</v>
      </c>
      <c r="C36" s="25">
        <f>ROUND((C28*C17),4)</f>
        <v>0.0023</v>
      </c>
      <c r="D36" s="26"/>
      <c r="F36" s="16"/>
      <c r="G36" s="16"/>
      <c r="H36" s="16"/>
      <c r="I36" s="16"/>
      <c r="J36" s="16"/>
      <c r="K36" s="16"/>
      <c r="L36" s="16"/>
    </row>
    <row r="37" spans="1:12" ht="15">
      <c r="A37" s="21" t="s">
        <v>75</v>
      </c>
      <c r="B37" s="27" t="s">
        <v>76</v>
      </c>
      <c r="C37" s="28">
        <f>SUM(C35:C36)</f>
        <v>0.0165</v>
      </c>
      <c r="D37" s="38"/>
      <c r="F37" s="16"/>
      <c r="G37" s="16"/>
      <c r="H37" s="16"/>
      <c r="I37" s="16"/>
      <c r="J37" s="16"/>
      <c r="K37" s="16"/>
      <c r="L37" s="16"/>
    </row>
    <row r="38" spans="1:12" ht="15.75" thickBot="1">
      <c r="A38" s="39"/>
      <c r="B38" s="40" t="s">
        <v>77</v>
      </c>
      <c r="C38" s="41">
        <f>C37+C33+C26+C18</f>
        <v>0.3767166</v>
      </c>
      <c r="D38" s="38"/>
      <c r="F38" s="16"/>
      <c r="G38" s="16"/>
      <c r="H38" s="16"/>
      <c r="I38" s="16"/>
      <c r="J38" s="16"/>
      <c r="K38" s="16"/>
      <c r="L38" s="16"/>
    </row>
    <row r="39" spans="1:12" ht="15">
      <c r="A39" s="26"/>
      <c r="B39" s="42"/>
      <c r="C39" s="43"/>
      <c r="D39" s="44"/>
      <c r="F39" s="16"/>
      <c r="G39" s="16"/>
      <c r="H39" s="16"/>
      <c r="I39" s="16"/>
      <c r="J39" s="16"/>
      <c r="K39" s="16"/>
      <c r="L39" s="16"/>
    </row>
    <row r="40" spans="1:12" ht="14.25">
      <c r="A40" s="26"/>
      <c r="B40" s="26"/>
      <c r="C40" s="45"/>
      <c r="D40" s="46"/>
      <c r="F40" s="16"/>
      <c r="G40" s="16"/>
      <c r="H40" s="16"/>
      <c r="I40" s="16"/>
      <c r="J40" s="16"/>
      <c r="K40" s="16"/>
      <c r="L40" s="16"/>
    </row>
    <row r="41" spans="1:12" ht="14.25">
      <c r="A41" s="24"/>
      <c r="B41" s="24"/>
      <c r="C41" s="47"/>
      <c r="D41" s="24"/>
      <c r="F41" s="16"/>
      <c r="G41" s="16"/>
      <c r="H41" s="16"/>
      <c r="I41" s="16"/>
      <c r="J41" s="16"/>
      <c r="K41" s="16"/>
      <c r="L41" s="16"/>
    </row>
    <row r="42" spans="1:12" ht="14.25">
      <c r="A42" s="24"/>
      <c r="B42" s="24"/>
      <c r="C42" s="47"/>
      <c r="D42" s="24"/>
      <c r="F42" s="16"/>
      <c r="G42" s="16"/>
      <c r="H42" s="16"/>
      <c r="I42" s="16"/>
      <c r="J42" s="16"/>
      <c r="K42" s="16"/>
      <c r="L42" s="16"/>
    </row>
    <row r="43" spans="1:12" ht="14.25">
      <c r="A43" s="24"/>
      <c r="B43" s="24"/>
      <c r="C43" s="47"/>
      <c r="D43" s="24"/>
      <c r="F43" s="16"/>
      <c r="G43" s="16"/>
      <c r="H43" s="16"/>
      <c r="I43" s="16"/>
      <c r="J43" s="16"/>
      <c r="K43" s="16"/>
      <c r="L43" s="16"/>
    </row>
    <row r="44" spans="1:12" ht="15">
      <c r="A44" s="24"/>
      <c r="B44" s="48"/>
      <c r="C44" s="49"/>
      <c r="D44" s="24"/>
      <c r="F44" s="16"/>
      <c r="G44" s="16"/>
      <c r="H44" s="16"/>
      <c r="I44" s="16"/>
      <c r="J44" s="16"/>
      <c r="K44" s="16"/>
      <c r="L44" s="16"/>
    </row>
    <row r="45" spans="1:12" ht="15">
      <c r="A45" s="38"/>
      <c r="B45" s="48"/>
      <c r="C45" s="49"/>
      <c r="D45" s="38"/>
      <c r="E45" s="16"/>
      <c r="F45" s="16"/>
      <c r="G45" s="16"/>
      <c r="H45" s="16"/>
      <c r="I45" s="16"/>
      <c r="J45" s="16"/>
      <c r="K45" s="16"/>
      <c r="L45" s="16"/>
    </row>
    <row r="46" spans="1:12" ht="16.5">
      <c r="A46" s="50"/>
      <c r="B46" s="16"/>
      <c r="C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51"/>
      <c r="B47" s="52"/>
      <c r="C47" s="52"/>
      <c r="E47" s="16"/>
      <c r="F47" s="16"/>
      <c r="G47" s="16"/>
      <c r="H47" s="16"/>
      <c r="I47" s="16"/>
      <c r="J47" s="16"/>
      <c r="K47" s="16"/>
      <c r="L47" s="16"/>
    </row>
    <row r="48" spans="1:12" ht="14.25">
      <c r="A48" s="24"/>
      <c r="B48" s="53"/>
      <c r="C48" s="52"/>
      <c r="E48" s="16"/>
      <c r="F48" s="16"/>
      <c r="G48" s="16"/>
      <c r="H48" s="16"/>
      <c r="I48" s="16"/>
      <c r="J48" s="16"/>
      <c r="K48" s="16"/>
      <c r="L48" s="16"/>
    </row>
    <row r="49" spans="1:12" ht="14.25">
      <c r="A49" s="24"/>
      <c r="B49" s="53"/>
      <c r="C49" s="24"/>
      <c r="E49" s="16"/>
      <c r="F49" s="16"/>
      <c r="G49" s="16"/>
      <c r="H49" s="16"/>
      <c r="I49" s="16"/>
      <c r="J49" s="16"/>
      <c r="K49" s="16"/>
      <c r="L49" s="16"/>
    </row>
    <row r="50" spans="1:12" ht="14.25">
      <c r="A50" s="24"/>
      <c r="B50" s="47"/>
      <c r="C50" s="52"/>
      <c r="E50" s="16"/>
      <c r="F50" s="16"/>
      <c r="G50" s="16"/>
      <c r="H50" s="16"/>
      <c r="I50" s="16"/>
      <c r="J50" s="16"/>
      <c r="K50" s="16"/>
      <c r="L50" s="16"/>
    </row>
    <row r="51" spans="1:12" ht="14.25">
      <c r="A51" s="24"/>
      <c r="B51" s="53"/>
      <c r="C51" s="24"/>
      <c r="E51" s="16"/>
      <c r="F51" s="16"/>
      <c r="G51" s="16"/>
      <c r="H51" s="16"/>
      <c r="I51" s="16"/>
      <c r="J51" s="16"/>
      <c r="K51" s="16"/>
      <c r="L51" s="16"/>
    </row>
    <row r="52" spans="1:12" ht="14.25">
      <c r="A52" s="24"/>
      <c r="B52" s="47"/>
      <c r="C52" s="52"/>
      <c r="E52" s="16"/>
      <c r="F52" s="16"/>
      <c r="G52" s="16"/>
      <c r="H52" s="16"/>
      <c r="I52" s="16"/>
      <c r="J52" s="16"/>
      <c r="K52" s="16"/>
      <c r="L52" s="16"/>
    </row>
    <row r="53" spans="1:12" ht="14.25">
      <c r="A53" s="24"/>
      <c r="B53" s="53"/>
      <c r="C53" s="24"/>
      <c r="E53" s="16"/>
      <c r="F53" s="16"/>
      <c r="G53" s="16"/>
      <c r="H53" s="16"/>
      <c r="I53" s="16"/>
      <c r="J53" s="16"/>
      <c r="K53" s="16"/>
      <c r="L53" s="16"/>
    </row>
    <row r="54" spans="1:12" ht="14.25">
      <c r="A54" s="24"/>
      <c r="B54" s="47"/>
      <c r="C54" s="52"/>
      <c r="E54" s="16"/>
      <c r="F54" s="16"/>
      <c r="G54" s="16"/>
      <c r="H54" s="16"/>
      <c r="I54" s="16"/>
      <c r="J54" s="16"/>
      <c r="K54" s="16"/>
      <c r="L54" s="16"/>
    </row>
    <row r="55" spans="1:12" ht="14.25">
      <c r="A55" s="24"/>
      <c r="B55" s="53"/>
      <c r="C55" s="24"/>
      <c r="E55" s="16"/>
      <c r="F55" s="16"/>
      <c r="G55" s="16"/>
      <c r="H55" s="16"/>
      <c r="I55" s="16"/>
      <c r="J55" s="16"/>
      <c r="K55" s="16"/>
      <c r="L55" s="16"/>
    </row>
    <row r="56" spans="1:12" ht="14.25">
      <c r="A56" s="24"/>
      <c r="B56" s="47"/>
      <c r="C56" s="52"/>
      <c r="E56" s="16"/>
      <c r="F56" s="16"/>
      <c r="G56" s="16"/>
      <c r="H56" s="16"/>
      <c r="I56" s="16"/>
      <c r="J56" s="16"/>
      <c r="K56" s="16"/>
      <c r="L56" s="16"/>
    </row>
    <row r="57" spans="1:12" ht="16.5">
      <c r="A57" s="50"/>
      <c r="B57" s="16"/>
      <c r="C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16"/>
      <c r="B58" s="16"/>
      <c r="C58" s="16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54"/>
      <c r="B60" s="16"/>
      <c r="C60" s="16"/>
      <c r="E60" s="16"/>
      <c r="F60" s="16"/>
      <c r="G60" s="16"/>
      <c r="H60" s="16"/>
      <c r="I60" s="16"/>
      <c r="J60" s="16"/>
      <c r="K60" s="16"/>
      <c r="L60" s="16"/>
    </row>
    <row r="61" spans="1:5" ht="12.75">
      <c r="A61" s="16"/>
      <c r="B61" s="16"/>
      <c r="C61" s="16"/>
      <c r="E61" s="16"/>
    </row>
    <row r="62" spans="1:5" ht="12.75">
      <c r="A62" s="16"/>
      <c r="B62" s="16"/>
      <c r="C62" s="16"/>
      <c r="E62" s="16"/>
    </row>
    <row r="63" spans="1:5" ht="12.75">
      <c r="A63" s="16"/>
      <c r="B63" s="16"/>
      <c r="C63" s="16"/>
      <c r="E63" s="16"/>
    </row>
    <row r="64" spans="1:5" ht="12.75">
      <c r="A64" s="16"/>
      <c r="B64" s="16"/>
      <c r="C64" s="16"/>
      <c r="E64" s="16"/>
    </row>
    <row r="65" spans="1:5" ht="12.75">
      <c r="A65" s="16"/>
      <c r="B65" s="16"/>
      <c r="C65" s="16"/>
      <c r="E65" s="16"/>
    </row>
    <row r="66" spans="1:5" ht="12.75">
      <c r="A66" s="16"/>
      <c r="B66" s="16"/>
      <c r="C66" s="16"/>
      <c r="E66" s="16"/>
    </row>
    <row r="67" spans="1:5" ht="12.75">
      <c r="A67" s="16"/>
      <c r="B67" s="16"/>
      <c r="C67" s="16"/>
      <c r="E67" s="16"/>
    </row>
    <row r="68" spans="1:5" ht="12.75">
      <c r="A68" s="16"/>
      <c r="B68" s="16"/>
      <c r="C68" s="16"/>
      <c r="E68" s="16"/>
    </row>
    <row r="69" spans="1:5" ht="12.75">
      <c r="A69" s="16"/>
      <c r="B69" s="16"/>
      <c r="C69" s="16"/>
      <c r="E69" s="16"/>
    </row>
  </sheetData>
  <sheetProtection/>
  <mergeCells count="1">
    <mergeCell ref="A8:C8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6.7109375" style="0" customWidth="1"/>
    <col min="2" max="2" width="12.7109375" style="0" customWidth="1"/>
    <col min="3" max="3" width="27.8515625" style="0" customWidth="1"/>
    <col min="4" max="4" width="9.7109375" style="0" hidden="1" customWidth="1"/>
    <col min="5" max="5" width="8.00390625" style="8" hidden="1" customWidth="1"/>
    <col min="6" max="6" width="9.7109375" style="0" hidden="1" customWidth="1"/>
  </cols>
  <sheetData>
    <row r="1" spans="1:5" s="13" customFormat="1" ht="14.25">
      <c r="A1" s="6" t="s">
        <v>84</v>
      </c>
      <c r="B1" s="11"/>
      <c r="C1" s="11"/>
      <c r="E1" s="14"/>
    </row>
    <row r="2" spans="1:5" s="13" customFormat="1" ht="14.25">
      <c r="A2" s="10" t="s">
        <v>93</v>
      </c>
      <c r="B2" s="11"/>
      <c r="C2" s="11"/>
      <c r="E2" s="14"/>
    </row>
    <row r="3" spans="1:5" s="13" customFormat="1" ht="14.25">
      <c r="A3" s="5" t="s">
        <v>85</v>
      </c>
      <c r="B3" s="11"/>
      <c r="C3" s="11"/>
      <c r="E3" s="14"/>
    </row>
    <row r="4" spans="1:5" s="13" customFormat="1" ht="14.25">
      <c r="A4" s="5"/>
      <c r="B4" s="11"/>
      <c r="C4" s="11"/>
      <c r="E4" s="14"/>
    </row>
    <row r="5" spans="1:7" s="2" customFormat="1" ht="15" customHeight="1" hidden="1">
      <c r="A5" s="93" t="s">
        <v>98</v>
      </c>
      <c r="B5" s="9"/>
      <c r="C5" s="9"/>
      <c r="D5" s="9"/>
      <c r="E5" s="9"/>
      <c r="F5" s="9"/>
      <c r="G5" s="4"/>
    </row>
    <row r="6" spans="1:7" s="2" customFormat="1" ht="16.5" customHeight="1">
      <c r="A6" s="94" t="s">
        <v>99</v>
      </c>
      <c r="B6" s="3"/>
      <c r="C6" s="3"/>
      <c r="D6" s="4"/>
      <c r="E6" s="4"/>
      <c r="F6" s="4"/>
      <c r="G6" s="4"/>
    </row>
    <row r="7" spans="1:7" s="2" customFormat="1" ht="16.5" customHeight="1">
      <c r="A7" s="94" t="s">
        <v>100</v>
      </c>
      <c r="B7" s="3"/>
      <c r="C7" s="3"/>
      <c r="D7" s="4"/>
      <c r="E7" s="4"/>
      <c r="F7" s="4"/>
      <c r="G7" s="4"/>
    </row>
    <row r="8" spans="2:5" s="13" customFormat="1" ht="15" thickBot="1">
      <c r="B8" s="11"/>
      <c r="C8" s="11"/>
      <c r="E8" s="14"/>
    </row>
    <row r="9" spans="1:6" ht="15.75">
      <c r="A9" s="521" t="s">
        <v>255</v>
      </c>
      <c r="B9" s="522"/>
      <c r="C9" s="522"/>
      <c r="D9" s="522"/>
      <c r="E9" s="522"/>
      <c r="F9" s="523"/>
    </row>
    <row r="10" spans="1:6" ht="15.75" hidden="1">
      <c r="A10" s="86"/>
      <c r="B10" s="87"/>
      <c r="C10" s="87"/>
      <c r="D10" s="87"/>
      <c r="E10" s="87"/>
      <c r="F10" s="88"/>
    </row>
    <row r="11" spans="1:8" ht="15" hidden="1">
      <c r="A11" s="56"/>
      <c r="B11" s="12"/>
      <c r="C11" s="12"/>
      <c r="D11" s="518" t="s">
        <v>92</v>
      </c>
      <c r="E11" s="519"/>
      <c r="F11" s="520"/>
      <c r="G11" s="13"/>
      <c r="H11" s="13"/>
    </row>
    <row r="12" spans="1:8" ht="14.25">
      <c r="A12" s="297"/>
      <c r="B12" s="296"/>
      <c r="C12" s="296"/>
      <c r="D12" s="57" t="s">
        <v>78</v>
      </c>
      <c r="E12" s="58" t="s">
        <v>79</v>
      </c>
      <c r="F12" s="59" t="s">
        <v>80</v>
      </c>
      <c r="G12" s="13"/>
      <c r="H12" s="13"/>
    </row>
    <row r="13" spans="1:8" ht="14.25">
      <c r="A13" s="290" t="s">
        <v>13</v>
      </c>
      <c r="B13" s="291" t="s">
        <v>14</v>
      </c>
      <c r="C13" s="292">
        <v>0.055</v>
      </c>
      <c r="D13" s="293">
        <v>0.0297</v>
      </c>
      <c r="E13" s="294">
        <v>0.0508</v>
      </c>
      <c r="F13" s="295">
        <v>0.0627</v>
      </c>
      <c r="G13" s="13"/>
      <c r="H13" s="13"/>
    </row>
    <row r="14" spans="1:8" ht="14.25">
      <c r="A14" s="61" t="s">
        <v>15</v>
      </c>
      <c r="B14" s="62" t="s">
        <v>16</v>
      </c>
      <c r="C14" s="63">
        <v>0.0133</v>
      </c>
      <c r="D14" s="80">
        <f>0.3%+0.56%</f>
        <v>0.0086</v>
      </c>
      <c r="E14" s="81">
        <f>0.48%+0.85%</f>
        <v>0.0133</v>
      </c>
      <c r="F14" s="82">
        <f>0.82%+0.89%</f>
        <v>0.017099999999999997</v>
      </c>
      <c r="G14" s="13"/>
      <c r="H14" s="13"/>
    </row>
    <row r="15" spans="1:8" ht="14.25">
      <c r="A15" s="61" t="s">
        <v>17</v>
      </c>
      <c r="B15" s="62" t="s">
        <v>18</v>
      </c>
      <c r="C15" s="63">
        <v>0.1095</v>
      </c>
      <c r="D15" s="80">
        <v>0.0778</v>
      </c>
      <c r="E15" s="81">
        <v>0.1085</v>
      </c>
      <c r="F15" s="82">
        <v>0.1355</v>
      </c>
      <c r="G15" s="13"/>
      <c r="H15" s="13"/>
    </row>
    <row r="16" spans="1:8" ht="14.25">
      <c r="A16" s="61" t="s">
        <v>19</v>
      </c>
      <c r="B16" s="62" t="s">
        <v>20</v>
      </c>
      <c r="C16" s="64">
        <f>(1+E16)^(E17/252)-1</f>
        <v>0.004060014178231208</v>
      </c>
      <c r="D16" s="80" t="s">
        <v>95</v>
      </c>
      <c r="E16" s="65">
        <v>0.1075</v>
      </c>
      <c r="F16" s="60"/>
      <c r="G16" s="13"/>
      <c r="H16" s="13"/>
    </row>
    <row r="17" spans="1:8" ht="14.25">
      <c r="A17" s="61" t="s">
        <v>21</v>
      </c>
      <c r="B17" s="516" t="s">
        <v>22</v>
      </c>
      <c r="C17" s="63">
        <v>0.03</v>
      </c>
      <c r="D17" s="92" t="s">
        <v>81</v>
      </c>
      <c r="E17" s="66">
        <v>10</v>
      </c>
      <c r="F17" s="67"/>
      <c r="G17" s="13"/>
      <c r="H17" s="13"/>
    </row>
    <row r="18" spans="1:8" ht="15" thickBot="1">
      <c r="A18" s="68" t="s">
        <v>106</v>
      </c>
      <c r="B18" s="517"/>
      <c r="C18" s="69">
        <v>0.0542</v>
      </c>
      <c r="D18" s="55"/>
      <c r="E18" s="70"/>
      <c r="F18" s="67"/>
      <c r="G18" s="13"/>
      <c r="H18" s="13"/>
    </row>
    <row r="19" spans="1:8" ht="14.25">
      <c r="A19" s="71" t="s">
        <v>23</v>
      </c>
      <c r="B19" s="72"/>
      <c r="C19" s="73"/>
      <c r="D19" s="55"/>
      <c r="E19" s="70"/>
      <c r="F19" s="67"/>
      <c r="G19" s="13"/>
      <c r="H19" s="13"/>
    </row>
    <row r="20" spans="1:8" ht="15" thickBot="1">
      <c r="A20" s="74" t="s">
        <v>24</v>
      </c>
      <c r="B20" s="75"/>
      <c r="C20" s="76"/>
      <c r="D20" s="55"/>
      <c r="E20" s="70"/>
      <c r="F20" s="67"/>
      <c r="G20" s="13"/>
      <c r="H20" s="13"/>
    </row>
    <row r="21" spans="1:8" ht="15.75" thickBot="1">
      <c r="A21" s="77" t="s">
        <v>25</v>
      </c>
      <c r="B21" s="78"/>
      <c r="C21" s="79">
        <f>ROUND((((1+C13+C14)*(1+C15)*(1+C16))/(1-(C17+C18))-1),4)</f>
        <v>0.2995</v>
      </c>
      <c r="D21" s="83">
        <v>0.2143</v>
      </c>
      <c r="E21" s="84">
        <v>0.2717</v>
      </c>
      <c r="F21" s="85">
        <v>0.3362</v>
      </c>
      <c r="G21" s="13"/>
      <c r="H21" s="13"/>
    </row>
    <row r="22" spans="1:8" ht="14.25">
      <c r="A22" s="13"/>
      <c r="B22" s="13"/>
      <c r="C22" s="13"/>
      <c r="D22" s="13"/>
      <c r="E22" s="14"/>
      <c r="F22" s="13"/>
      <c r="G22" s="13"/>
      <c r="H22" s="13"/>
    </row>
    <row r="23" spans="1:8" ht="14.25">
      <c r="A23" s="256" t="s">
        <v>190</v>
      </c>
      <c r="B23" s="13"/>
      <c r="C23" s="13"/>
      <c r="D23" s="13"/>
      <c r="E23" s="14"/>
      <c r="F23" s="13"/>
      <c r="G23" s="13"/>
      <c r="H23" s="13"/>
    </row>
    <row r="24" spans="1:8" ht="14.25">
      <c r="A24" s="257" t="s">
        <v>191</v>
      </c>
      <c r="B24" s="13"/>
      <c r="C24" s="13"/>
      <c r="D24" s="13"/>
      <c r="E24" s="14"/>
      <c r="F24" s="13"/>
      <c r="G24" s="13"/>
      <c r="H24" s="13"/>
    </row>
    <row r="25" spans="1:8" ht="14.25">
      <c r="A25" s="13"/>
      <c r="B25" s="13"/>
      <c r="C25" s="13"/>
      <c r="D25" s="13"/>
      <c r="E25" s="14"/>
      <c r="F25" s="13"/>
      <c r="G25" s="13"/>
      <c r="H25" s="13"/>
    </row>
  </sheetData>
  <sheetProtection/>
  <mergeCells count="3">
    <mergeCell ref="B17:B18"/>
    <mergeCell ref="D11:F11"/>
    <mergeCell ref="A9:F9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7">
      <selection activeCell="A1" sqref="A1:J1"/>
    </sheetView>
  </sheetViews>
  <sheetFormatPr defaultColWidth="9.140625" defaultRowHeight="19.5" customHeight="1"/>
  <cols>
    <col min="1" max="1" width="24.57421875" style="1" customWidth="1"/>
    <col min="2" max="2" width="20.8515625" style="1" customWidth="1"/>
    <col min="3" max="16384" width="9.140625" style="1" customWidth="1"/>
  </cols>
  <sheetData>
    <row r="1" spans="1:2" ht="19.5" customHeight="1" thickBot="1">
      <c r="A1" s="524" t="s">
        <v>256</v>
      </c>
      <c r="B1" s="525"/>
    </row>
    <row r="2" spans="1:2" s="7" customFormat="1" ht="19.5" customHeight="1">
      <c r="A2" s="89" t="s">
        <v>86</v>
      </c>
      <c r="B2" s="90" t="s">
        <v>96</v>
      </c>
    </row>
    <row r="3" spans="1:2" ht="19.5" customHeight="1">
      <c r="A3" s="18">
        <v>1</v>
      </c>
      <c r="B3" s="17">
        <v>33.629999999999995</v>
      </c>
    </row>
    <row r="4" spans="1:2" ht="19.5" customHeight="1">
      <c r="A4" s="18">
        <v>2</v>
      </c>
      <c r="B4" s="17">
        <v>43.13</v>
      </c>
    </row>
    <row r="5" spans="1:2" ht="19.5" customHeight="1">
      <c r="A5" s="18">
        <v>3</v>
      </c>
      <c r="B5" s="17">
        <v>48.68</v>
      </c>
    </row>
    <row r="6" spans="1:2" ht="19.5" customHeight="1">
      <c r="A6" s="18">
        <v>4</v>
      </c>
      <c r="B6" s="17">
        <v>52.62</v>
      </c>
    </row>
    <row r="7" spans="1:2" ht="19.5" customHeight="1">
      <c r="A7" s="18">
        <v>5</v>
      </c>
      <c r="B7" s="17">
        <v>55.67999999999999</v>
      </c>
    </row>
    <row r="8" spans="1:2" ht="19.5" customHeight="1">
      <c r="A8" s="18">
        <v>6</v>
      </c>
      <c r="B8" s="17">
        <v>58.18</v>
      </c>
    </row>
    <row r="9" spans="1:2" ht="19.5" customHeight="1">
      <c r="A9" s="18">
        <v>7</v>
      </c>
      <c r="B9" s="17">
        <v>60.29</v>
      </c>
    </row>
    <row r="10" spans="1:2" ht="19.5" customHeight="1">
      <c r="A10" s="18">
        <v>8</v>
      </c>
      <c r="B10" s="17">
        <v>62.12</v>
      </c>
    </row>
    <row r="11" spans="1:2" ht="19.5" customHeight="1">
      <c r="A11" s="18">
        <v>9</v>
      </c>
      <c r="B11" s="17">
        <v>63.73</v>
      </c>
    </row>
    <row r="12" spans="1:2" ht="19.5" customHeight="1">
      <c r="A12" s="18">
        <v>10</v>
      </c>
      <c r="B12" s="17">
        <v>65.18</v>
      </c>
    </row>
    <row r="13" spans="1:2" ht="19.5" customHeight="1">
      <c r="A13" s="18">
        <v>11</v>
      </c>
      <c r="B13" s="17">
        <v>66.47999999999999</v>
      </c>
    </row>
    <row r="14" spans="1:2" ht="19.5" customHeight="1">
      <c r="A14" s="18">
        <v>12</v>
      </c>
      <c r="B14" s="17">
        <v>67.67</v>
      </c>
    </row>
    <row r="15" spans="1:2" ht="19.5" customHeight="1">
      <c r="A15" s="18">
        <v>13</v>
      </c>
      <c r="B15" s="17">
        <v>68.77</v>
      </c>
    </row>
    <row r="16" spans="1:2" ht="19.5" customHeight="1">
      <c r="A16" s="18">
        <v>14</v>
      </c>
      <c r="B16" s="17">
        <v>69.78999999999999</v>
      </c>
    </row>
    <row r="17" spans="1:2" ht="19.5" customHeight="1" thickBot="1">
      <c r="A17" s="19">
        <v>15</v>
      </c>
      <c r="B17" s="20">
        <v>70.73</v>
      </c>
    </row>
  </sheetData>
  <sheetProtection/>
  <mergeCells count="1">
    <mergeCell ref="A1:B1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0">
      <selection activeCell="E30" sqref="E30"/>
    </sheetView>
  </sheetViews>
  <sheetFormatPr defaultColWidth="8.8515625" defaultRowHeight="12.75"/>
  <cols>
    <col min="1" max="2" width="35.57421875" style="266" bestFit="1" customWidth="1"/>
    <col min="3" max="3" width="22.7109375" style="266" bestFit="1" customWidth="1"/>
    <col min="4" max="4" width="13.8515625" style="266" bestFit="1" customWidth="1"/>
    <col min="5" max="5" width="13.28125" style="266" bestFit="1" customWidth="1"/>
    <col min="6" max="6" width="12.7109375" style="266" bestFit="1" customWidth="1"/>
    <col min="7" max="16384" width="8.8515625" style="266" customWidth="1"/>
  </cols>
  <sheetData>
    <row r="1" spans="1:7" ht="15">
      <c r="A1" s="315" t="s">
        <v>198</v>
      </c>
      <c r="B1"/>
      <c r="C1"/>
      <c r="D1"/>
      <c r="E1"/>
      <c r="F1"/>
      <c r="G1"/>
    </row>
    <row r="2" spans="1:7" ht="15">
      <c r="A2" s="315" t="s">
        <v>199</v>
      </c>
      <c r="B2"/>
      <c r="C2"/>
      <c r="D2"/>
      <c r="E2"/>
      <c r="F2"/>
      <c r="G2"/>
    </row>
    <row r="3" spans="1:7" ht="15">
      <c r="A3" s="315" t="s">
        <v>200</v>
      </c>
      <c r="B3"/>
      <c r="C3"/>
      <c r="D3"/>
      <c r="E3"/>
      <c r="F3"/>
      <c r="G3"/>
    </row>
    <row r="4" spans="1:7" ht="15">
      <c r="A4" s="315"/>
      <c r="B4"/>
      <c r="C4"/>
      <c r="D4"/>
      <c r="E4"/>
      <c r="F4"/>
      <c r="G4"/>
    </row>
    <row r="5" spans="1:7" ht="14.25" customHeight="1">
      <c r="A5" s="526" t="s">
        <v>459</v>
      </c>
      <c r="B5" s="526"/>
      <c r="C5" s="526"/>
      <c r="D5" s="526"/>
      <c r="E5"/>
      <c r="F5"/>
      <c r="G5"/>
    </row>
    <row r="6" spans="1:7" ht="15">
      <c r="A6" s="392" t="s">
        <v>201</v>
      </c>
      <c r="B6"/>
      <c r="C6"/>
      <c r="D6"/>
      <c r="E6"/>
      <c r="F6"/>
      <c r="G6"/>
    </row>
    <row r="7" spans="1:7" ht="15">
      <c r="A7" s="392" t="s">
        <v>456</v>
      </c>
      <c r="B7"/>
      <c r="C7"/>
      <c r="D7"/>
      <c r="E7"/>
      <c r="F7"/>
      <c r="G7"/>
    </row>
    <row r="8" spans="1:7" ht="15">
      <c r="A8"/>
      <c r="B8"/>
      <c r="C8"/>
      <c r="D8"/>
      <c r="E8"/>
      <c r="F8"/>
      <c r="G8"/>
    </row>
    <row r="9" spans="1:7" ht="14.25" customHeight="1">
      <c r="A9" s="527" t="s">
        <v>202</v>
      </c>
      <c r="B9" s="528"/>
      <c r="C9" s="528"/>
      <c r="D9" s="528"/>
      <c r="E9" s="528"/>
      <c r="F9" s="529"/>
      <c r="G9"/>
    </row>
    <row r="10" spans="1:7" ht="30">
      <c r="A10" s="378" t="s">
        <v>203</v>
      </c>
      <c r="B10" s="378" t="s">
        <v>204</v>
      </c>
      <c r="C10" s="378" t="s">
        <v>205</v>
      </c>
      <c r="D10" s="379" t="s">
        <v>206</v>
      </c>
      <c r="E10" s="379" t="s">
        <v>207</v>
      </c>
      <c r="F10" s="379" t="s">
        <v>208</v>
      </c>
      <c r="G10"/>
    </row>
    <row r="11" spans="1:7" ht="26.25">
      <c r="A11" s="380" t="s">
        <v>460</v>
      </c>
      <c r="B11" s="380" t="s">
        <v>461</v>
      </c>
      <c r="C11" s="381" t="s">
        <v>457</v>
      </c>
      <c r="D11" s="382" t="s">
        <v>462</v>
      </c>
      <c r="E11" s="382">
        <v>6.138</v>
      </c>
      <c r="F11" s="383">
        <v>44641</v>
      </c>
      <c r="G11"/>
    </row>
    <row r="12" spans="1:7" ht="26.25">
      <c r="A12" s="380" t="s">
        <v>463</v>
      </c>
      <c r="B12" s="380" t="s">
        <v>464</v>
      </c>
      <c r="C12" s="381" t="s">
        <v>465</v>
      </c>
      <c r="D12" s="382" t="s">
        <v>209</v>
      </c>
      <c r="E12" s="382">
        <v>6.149</v>
      </c>
      <c r="F12" s="383">
        <v>44641</v>
      </c>
      <c r="G12"/>
    </row>
    <row r="13" spans="1:7" ht="26.25">
      <c r="A13" s="380" t="s">
        <v>466</v>
      </c>
      <c r="B13" s="380" t="s">
        <v>467</v>
      </c>
      <c r="C13" s="381" t="s">
        <v>465</v>
      </c>
      <c r="D13" s="382" t="s">
        <v>468</v>
      </c>
      <c r="E13" s="382">
        <v>6.149</v>
      </c>
      <c r="F13" s="383">
        <v>44641</v>
      </c>
      <c r="G13"/>
    </row>
    <row r="14" spans="1:7" ht="26.25">
      <c r="A14" s="380" t="s">
        <v>469</v>
      </c>
      <c r="B14" s="380" t="s">
        <v>470</v>
      </c>
      <c r="C14" s="381" t="s">
        <v>471</v>
      </c>
      <c r="D14" s="382" t="s">
        <v>210</v>
      </c>
      <c r="E14" s="382">
        <v>6.319</v>
      </c>
      <c r="F14" s="383">
        <v>44641</v>
      </c>
      <c r="G14"/>
    </row>
    <row r="15" spans="1:7" ht="15">
      <c r="A15" s="380" t="s">
        <v>472</v>
      </c>
      <c r="B15" s="380" t="s">
        <v>473</v>
      </c>
      <c r="C15" s="381" t="s">
        <v>448</v>
      </c>
      <c r="D15" s="382" t="s">
        <v>210</v>
      </c>
      <c r="E15" s="382">
        <v>6.499</v>
      </c>
      <c r="F15" s="383">
        <v>44641</v>
      </c>
      <c r="G15"/>
    </row>
    <row r="16" spans="1:7" ht="15">
      <c r="A16"/>
      <c r="B16"/>
      <c r="C16"/>
      <c r="D16"/>
      <c r="E16"/>
      <c r="F16"/>
      <c r="G16"/>
    </row>
    <row r="17" spans="1:7" ht="15">
      <c r="A17" s="530" t="s">
        <v>207</v>
      </c>
      <c r="B17" s="531"/>
      <c r="C17"/>
      <c r="D17"/>
      <c r="E17"/>
      <c r="F17"/>
      <c r="G17"/>
    </row>
    <row r="18" spans="1:7" ht="15">
      <c r="A18" s="384" t="s">
        <v>211</v>
      </c>
      <c r="B18" s="382">
        <v>6.251</v>
      </c>
      <c r="C18"/>
      <c r="D18"/>
      <c r="E18"/>
      <c r="F18"/>
      <c r="G18"/>
    </row>
    <row r="19" spans="1:7" ht="15">
      <c r="A19" s="384" t="s">
        <v>212</v>
      </c>
      <c r="B19" s="382">
        <v>0.158</v>
      </c>
      <c r="C19"/>
      <c r="D19"/>
      <c r="E19"/>
      <c r="F19"/>
      <c r="G19"/>
    </row>
    <row r="20" spans="1:7" ht="15">
      <c r="A20" s="384" t="s">
        <v>213</v>
      </c>
      <c r="B20" s="382">
        <v>6.138</v>
      </c>
      <c r="C20"/>
      <c r="D20"/>
      <c r="E20"/>
      <c r="F20"/>
      <c r="G20"/>
    </row>
    <row r="21" spans="1:7" ht="15">
      <c r="A21" s="384" t="s">
        <v>214</v>
      </c>
      <c r="B21" s="382">
        <v>6.499</v>
      </c>
      <c r="C21"/>
      <c r="D21"/>
      <c r="E21"/>
      <c r="F21"/>
      <c r="G21"/>
    </row>
    <row r="22" spans="1:7" ht="15">
      <c r="A22" s="392" t="s">
        <v>474</v>
      </c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  <row r="24" spans="1:7" ht="15">
      <c r="A24"/>
      <c r="B24"/>
      <c r="C24"/>
      <c r="D24"/>
      <c r="E24"/>
      <c r="F24"/>
      <c r="G24"/>
    </row>
    <row r="25" spans="1:7" ht="15">
      <c r="A25"/>
      <c r="B25"/>
      <c r="C25"/>
      <c r="D25"/>
      <c r="E25"/>
      <c r="F25"/>
      <c r="G25"/>
    </row>
    <row r="26" spans="1:7" ht="15">
      <c r="A26"/>
      <c r="B26"/>
      <c r="C26"/>
      <c r="D26"/>
      <c r="E26"/>
      <c r="F26"/>
      <c r="G26"/>
    </row>
    <row r="27" spans="1:7" ht="14.25" customHeight="1">
      <c r="A27"/>
      <c r="B27"/>
      <c r="C27"/>
      <c r="D27"/>
      <c r="E27"/>
      <c r="F27"/>
      <c r="G27"/>
    </row>
    <row r="28" spans="1:7" ht="15">
      <c r="A28"/>
      <c r="B28"/>
      <c r="C28"/>
      <c r="D28"/>
      <c r="E28"/>
      <c r="F28"/>
      <c r="G28"/>
    </row>
    <row r="29" spans="1:7" ht="15">
      <c r="A29"/>
      <c r="B29"/>
      <c r="C29"/>
      <c r="D29"/>
      <c r="E29"/>
      <c r="F29"/>
      <c r="G29"/>
    </row>
    <row r="30" spans="1:7" ht="15">
      <c r="A30"/>
      <c r="B30"/>
      <c r="C30"/>
      <c r="D30"/>
      <c r="E30"/>
      <c r="F30"/>
      <c r="G30"/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  <row r="38" spans="1:6" ht="15">
      <c r="A38"/>
      <c r="B38"/>
      <c r="C38"/>
      <c r="D38"/>
      <c r="E38"/>
      <c r="F38"/>
    </row>
    <row r="39" spans="1:6" ht="15">
      <c r="A39"/>
      <c r="B39"/>
      <c r="C39"/>
      <c r="D39"/>
      <c r="E39"/>
      <c r="F39"/>
    </row>
    <row r="40" spans="1:6" ht="15">
      <c r="A40"/>
      <c r="B40"/>
      <c r="C40"/>
      <c r="D40"/>
      <c r="E40"/>
      <c r="F40"/>
    </row>
    <row r="41" spans="1:6" ht="15">
      <c r="A41"/>
      <c r="B41"/>
      <c r="C41"/>
      <c r="D41"/>
      <c r="E41"/>
      <c r="F41"/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5">
      <c r="A44"/>
      <c r="B44"/>
      <c r="C44"/>
      <c r="D44"/>
      <c r="E44"/>
      <c r="F44"/>
    </row>
    <row r="45" spans="1:6" ht="15">
      <c r="A45"/>
      <c r="B45"/>
      <c r="C45"/>
      <c r="D45"/>
      <c r="E45"/>
      <c r="F45"/>
    </row>
    <row r="46" spans="1:6" ht="15">
      <c r="A46"/>
      <c r="B46"/>
      <c r="C46"/>
      <c r="D46"/>
      <c r="E46"/>
      <c r="F46"/>
    </row>
  </sheetData>
  <sheetProtection/>
  <mergeCells count="3">
    <mergeCell ref="A5:D5"/>
    <mergeCell ref="A9:F9"/>
    <mergeCell ref="A17:B1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03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8" width="15.281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317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15</v>
      </c>
      <c r="C8" s="431"/>
      <c r="D8" s="104" t="s">
        <v>427</v>
      </c>
      <c r="E8" s="104"/>
      <c r="F8" s="104"/>
      <c r="G8" s="105">
        <f>SUM(B8:F8)</f>
        <v>15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Roteiros!T24</f>
        <v>44.58205999999999</v>
      </c>
      <c r="C10" s="433"/>
      <c r="D10" s="108">
        <f>Roteiros!T29</f>
        <v>44.58205999999999</v>
      </c>
      <c r="E10" s="108">
        <v>0</v>
      </c>
      <c r="F10" s="108">
        <v>0</v>
      </c>
      <c r="G10" s="107">
        <f>SUM(B10:F10)</f>
        <v>89.16411999999998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89.16411999999998</v>
      </c>
      <c r="H11" s="103"/>
      <c r="I11" s="103"/>
    </row>
    <row r="12" spans="1:10" ht="15.75">
      <c r="A12" s="258" t="s">
        <v>113</v>
      </c>
      <c r="B12" s="428" t="s">
        <v>424</v>
      </c>
      <c r="C12" s="429"/>
      <c r="D12" s="102" t="s">
        <v>424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1.4860686666666665</v>
      </c>
      <c r="C13" s="429"/>
      <c r="D13" s="102">
        <f>D10/30</f>
        <v>1.4860686666666665</v>
      </c>
      <c r="E13" s="102">
        <f>E10/30</f>
        <v>0</v>
      </c>
      <c r="F13" s="102">
        <f>F10/30</f>
        <v>0</v>
      </c>
      <c r="G13" s="107">
        <f>SUM(B13:F13)</f>
        <v>2.972137333333333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4.9721373333333325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17.78988888888889</v>
      </c>
      <c r="H16" s="103"/>
      <c r="I16" s="103"/>
    </row>
    <row r="17" spans="1:9" ht="15.75">
      <c r="A17" s="109" t="s">
        <v>118</v>
      </c>
      <c r="B17" s="414" t="s">
        <v>252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110000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1783.2823999999996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2786.3787499999994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1337.4617999999996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230.9231822506666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4354.763732250665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1783.2823999999996</v>
      </c>
      <c r="G31" s="276">
        <f>H30</f>
        <v>0.12949333333333332</v>
      </c>
      <c r="H31" s="286">
        <f>_xlfn.IFERROR(F31*G31,0)</f>
        <v>230.9231822506666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11825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5186.866666666667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54311.558842454404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3068.687833546564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0.565015606060606</v>
      </c>
      <c r="C44" s="121"/>
      <c r="D44" s="145" t="s">
        <v>138</v>
      </c>
      <c r="E44" s="146" t="s">
        <v>2</v>
      </c>
      <c r="F44" s="147">
        <v>1</v>
      </c>
      <c r="G44" s="148">
        <f>G18</f>
        <v>110000</v>
      </c>
      <c r="H44" s="149">
        <f>F44*G44</f>
        <v>110000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110000</v>
      </c>
      <c r="H47" s="154">
        <f>F47*G47/100</f>
        <v>77803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77803</v>
      </c>
      <c r="H48" s="163">
        <f>_xlfn.IFERROR(G48/F48,0)*12</f>
        <v>5186.866666666667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7423.45156579723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7423.45156579723</v>
      </c>
      <c r="F54" s="149">
        <f>D54*E54/1</f>
        <v>2223.3237439562704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2223.3237439562704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2223.3237439562704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9646.7753097535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5.409561216862513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4354.763732250665</v>
      </c>
      <c r="G65" s="202">
        <f>F65/$F$74</f>
        <v>0.4514217023224044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2786.3787499999994</v>
      </c>
      <c r="G66" s="206">
        <f aca="true" t="shared" si="0" ref="G66:G72">F66/$F$74</f>
        <v>0.28884043222016315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1337.4617999999996</v>
      </c>
      <c r="G67" s="206">
        <f t="shared" si="0"/>
        <v>0.1386434074656783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230.9231822506666</v>
      </c>
      <c r="G68" s="206">
        <f t="shared" si="0"/>
        <v>0.02393786263656298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3068.687833546564</v>
      </c>
      <c r="G69" s="202">
        <f t="shared" si="0"/>
        <v>0.31810503873184715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3068.687833546564</v>
      </c>
      <c r="G70" s="206">
        <f>F70/$F$74</f>
        <v>0.31810503873184715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7423.45156579723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2223.3237439562704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9646.7753097535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89.16411999999998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1783.2823999999996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5.409561216862513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286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89.16411999999998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5.409561216862513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20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8:F18"/>
    <mergeCell ref="B7:C7"/>
    <mergeCell ref="B8:C8"/>
    <mergeCell ref="B10:C10"/>
    <mergeCell ref="B12:C12"/>
    <mergeCell ref="B13:C13"/>
    <mergeCell ref="A16:F16"/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  <col min="11" max="11" width="13.281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379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33</v>
      </c>
      <c r="C8" s="431"/>
      <c r="D8" s="104" t="s">
        <v>481</v>
      </c>
      <c r="E8" s="104"/>
      <c r="F8" s="104"/>
      <c r="G8" s="105">
        <f>SUM(B8:F8)</f>
        <v>33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Roteiros!AA25</f>
        <v>35.18339</v>
      </c>
      <c r="C10" s="433"/>
      <c r="D10" s="108">
        <f>Roteiros!AA30</f>
        <v>35.18339</v>
      </c>
      <c r="E10" s="108">
        <v>0</v>
      </c>
      <c r="F10" s="108">
        <v>0</v>
      </c>
      <c r="G10" s="107">
        <f>SUM(B10:F10)</f>
        <v>70.36678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70.36678</v>
      </c>
      <c r="H11" s="103"/>
      <c r="I11" s="103"/>
    </row>
    <row r="12" spans="1:10" ht="15.75">
      <c r="A12" s="258" t="s">
        <v>113</v>
      </c>
      <c r="B12" s="428" t="s">
        <v>418</v>
      </c>
      <c r="C12" s="429"/>
      <c r="D12" s="102" t="s">
        <v>418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1.1727796666666668</v>
      </c>
      <c r="C13" s="429"/>
      <c r="D13" s="102">
        <f>D10/30</f>
        <v>1.1727796666666668</v>
      </c>
      <c r="E13" s="102">
        <f>E10/30</f>
        <v>0</v>
      </c>
      <c r="F13" s="102">
        <f>F10/30</f>
        <v>0</v>
      </c>
      <c r="G13" s="107">
        <f>SUM(B13:F13)</f>
        <v>2.3455593333333336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4.345559333333334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8.086313131313132</v>
      </c>
      <c r="H16" s="103"/>
      <c r="I16" s="103"/>
    </row>
    <row r="17" spans="1:9" ht="15.75">
      <c r="A17" s="109" t="s">
        <v>118</v>
      </c>
      <c r="B17" s="414" t="s">
        <v>482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1407.3356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2198.961875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1055.5017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292.7258048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3547.1893797999996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1407.3356</v>
      </c>
      <c r="G31" s="276">
        <f>H30</f>
        <v>0.208</v>
      </c>
      <c r="H31" s="286">
        <f>_xlfn.IFERROR(F31*G31,0)</f>
        <v>292.7258048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2697.2524080443845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0.4938135606060607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6244.441787844384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6244.441787844384</v>
      </c>
      <c r="F54" s="149">
        <f>D54*E54/1</f>
        <v>1870.2103154593929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1870.2103154593929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1870.2103154593929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11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8114.652103303777</v>
      </c>
      <c r="I59" s="97"/>
      <c r="K59" s="289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5.765968048633018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3547.1893797999996</v>
      </c>
      <c r="G65" s="202">
        <f>F65/$F$74</f>
        <v>0.437133882591936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2198.961875</v>
      </c>
      <c r="G66" s="206">
        <f aca="true" t="shared" si="0" ref="G66:G72">F66/$F$74</f>
        <v>0.27098658660976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1055.5017</v>
      </c>
      <c r="G67" s="206">
        <f t="shared" si="0"/>
        <v>0.1300735615726848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292.7258048</v>
      </c>
      <c r="G68" s="206">
        <f t="shared" si="0"/>
        <v>0.03607373440949125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2697.2524080443845</v>
      </c>
      <c r="G69" s="202">
        <f t="shared" si="0"/>
        <v>0.3323928584623157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2697.2524080443845</v>
      </c>
      <c r="G70" s="206">
        <f>F70/$F$74</f>
        <v>0.3323928584623157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6244.441787844384</v>
      </c>
      <c r="G71" s="202">
        <f t="shared" si="0"/>
        <v>0.7695267410542516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1870.2103154593929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8114.652103303777</v>
      </c>
      <c r="G74" s="227">
        <f>G71+G72</f>
        <v>0.9999999999999999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70.36678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1407.3356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5.765968048633018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287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70.36678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5.765968048633018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239</v>
      </c>
      <c r="B94" s="246" t="str">
        <f>B17</f>
        <v>Veículo no mínimo de 33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B13:C13"/>
    <mergeCell ref="A20:F20"/>
    <mergeCell ref="A15:F15"/>
    <mergeCell ref="A16:F16"/>
    <mergeCell ref="B17:G17"/>
    <mergeCell ref="A18:F18"/>
    <mergeCell ref="A19:F19"/>
    <mergeCell ref="A1:H1"/>
    <mergeCell ref="A2:H2"/>
    <mergeCell ref="A3:H3"/>
    <mergeCell ref="A4:H4"/>
    <mergeCell ref="A11:F11"/>
    <mergeCell ref="A14:F14"/>
    <mergeCell ref="B7:C7"/>
    <mergeCell ref="B8:C8"/>
    <mergeCell ref="B10:C10"/>
    <mergeCell ref="B12:C12"/>
    <mergeCell ref="A63:G63"/>
    <mergeCell ref="F85:H86"/>
    <mergeCell ref="A21:F21"/>
    <mergeCell ref="A22:F22"/>
    <mergeCell ref="A23:F23"/>
    <mergeCell ref="A33:H33"/>
    <mergeCell ref="A50:G50"/>
    <mergeCell ref="A52:G5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380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15</v>
      </c>
      <c r="C8" s="431"/>
      <c r="D8" s="104" t="s">
        <v>427</v>
      </c>
      <c r="E8" s="104"/>
      <c r="F8" s="104"/>
      <c r="G8" s="105">
        <f>SUM(B8:F8)</f>
        <v>15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Roteiros!AH25</f>
        <v>30.69419</v>
      </c>
      <c r="C10" s="433"/>
      <c r="D10" s="108">
        <f>Roteiros!AH30</f>
        <v>30.69419</v>
      </c>
      <c r="E10" s="108">
        <v>0</v>
      </c>
      <c r="F10" s="108">
        <v>0</v>
      </c>
      <c r="G10" s="107">
        <f>SUM(B10:F10)</f>
        <v>61.38838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61.38838</v>
      </c>
      <c r="H11" s="103"/>
      <c r="I11" s="103"/>
    </row>
    <row r="12" spans="1:10" ht="15.75">
      <c r="A12" s="258" t="s">
        <v>113</v>
      </c>
      <c r="B12" s="428" t="s">
        <v>421</v>
      </c>
      <c r="C12" s="429"/>
      <c r="D12" s="102" t="s">
        <v>421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1.0231396666666666</v>
      </c>
      <c r="C13" s="429"/>
      <c r="D13" s="102">
        <f>D10/30</f>
        <v>1.0231396666666666</v>
      </c>
      <c r="E13" s="102">
        <f>E10/30</f>
        <v>0</v>
      </c>
      <c r="F13" s="102">
        <f>F10/30</f>
        <v>0</v>
      </c>
      <c r="G13" s="107">
        <f>SUM(B13:F13)</f>
        <v>2.046279333333333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4.046279333333333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17.78988888888889</v>
      </c>
      <c r="H16" s="103"/>
      <c r="I16" s="103"/>
    </row>
    <row r="17" spans="1:9" ht="15.75">
      <c r="A17" s="109" t="s">
        <v>118</v>
      </c>
      <c r="B17" s="414" t="s">
        <v>440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110000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1227.7676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1918.386875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920.8256999999999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158.98771908266664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2998.200294082666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1227.7676</v>
      </c>
      <c r="G31" s="276">
        <f>H30</f>
        <v>0.12949333333333332</v>
      </c>
      <c r="H31" s="286">
        <f>_xlfn.IFERROR(F31*G31,0)</f>
        <v>158.98771908266664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11825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5186.866666666667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54311.558842454404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2497.269751197051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0.4598044696969696</v>
      </c>
      <c r="C44" s="121"/>
      <c r="D44" s="145" t="s">
        <v>138</v>
      </c>
      <c r="E44" s="146" t="s">
        <v>2</v>
      </c>
      <c r="F44" s="147">
        <v>1</v>
      </c>
      <c r="G44" s="148">
        <f>G18</f>
        <v>110000</v>
      </c>
      <c r="H44" s="149">
        <f>F44*G44</f>
        <v>110000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110000</v>
      </c>
      <c r="H47" s="154">
        <f>F47*G47/100</f>
        <v>77803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77803</v>
      </c>
      <c r="H48" s="163">
        <f>_xlfn.IFERROR(G48/F48,0)*12</f>
        <v>5186.866666666667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5495.470045279717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5495.470045279717</v>
      </c>
      <c r="F54" s="149">
        <f>D54*E54/1</f>
        <v>1645.893278561275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1645.893278561275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1645.893278561275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7141.363323840992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5.8165432316677785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2998.200294082666</v>
      </c>
      <c r="G65" s="202">
        <f>F65/$F$74</f>
        <v>0.4198358433988876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1918.386875</v>
      </c>
      <c r="G66" s="206">
        <f aca="true" t="shared" si="0" ref="G66:G72">F66/$F$74</f>
        <v>0.26863034241593425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920.8256999999999</v>
      </c>
      <c r="G67" s="206">
        <f t="shared" si="0"/>
        <v>0.12894256435964843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158.98771908266664</v>
      </c>
      <c r="G68" s="206">
        <f t="shared" si="0"/>
        <v>0.022262936623304985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2497.269751197051</v>
      </c>
      <c r="G69" s="202">
        <f t="shared" si="0"/>
        <v>0.3496908976553641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2497.269751197051</v>
      </c>
      <c r="G70" s="206">
        <f>F70/$F$74</f>
        <v>0.3496908976553641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5495.470045279717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1645.893278561275</v>
      </c>
      <c r="G72" s="202">
        <f t="shared" si="0"/>
        <v>0.23047325894574835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7141.363323840992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61.38838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1227.7676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5.8165432316677785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288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61.38838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5.8165432316677785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454</v>
      </c>
      <c r="B94" s="246" t="str">
        <f>B17</f>
        <v>Veículo no mínimo de 16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B13:C13"/>
    <mergeCell ref="A20:F20"/>
    <mergeCell ref="A15:F15"/>
    <mergeCell ref="A16:F16"/>
    <mergeCell ref="B17:G17"/>
    <mergeCell ref="A18:F18"/>
    <mergeCell ref="A19:F19"/>
    <mergeCell ref="A1:H1"/>
    <mergeCell ref="A2:H2"/>
    <mergeCell ref="A3:H3"/>
    <mergeCell ref="A4:H4"/>
    <mergeCell ref="A11:F11"/>
    <mergeCell ref="A14:F14"/>
    <mergeCell ref="B7:C7"/>
    <mergeCell ref="B8:C8"/>
    <mergeCell ref="B10:C10"/>
    <mergeCell ref="B12:C12"/>
    <mergeCell ref="A63:G63"/>
    <mergeCell ref="F85:H86"/>
    <mergeCell ref="A21:F21"/>
    <mergeCell ref="A22:F22"/>
    <mergeCell ref="A23:F23"/>
    <mergeCell ref="A33:H33"/>
    <mergeCell ref="A50:G50"/>
    <mergeCell ref="A52:G5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8" width="15.281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381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15</v>
      </c>
      <c r="C8" s="431"/>
      <c r="D8" s="104" t="s">
        <v>427</v>
      </c>
      <c r="E8" s="104"/>
      <c r="F8" s="104"/>
      <c r="G8" s="105">
        <f>SUM(B8:F8)</f>
        <v>15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Roteiros!AO25</f>
        <v>26.229479999999995</v>
      </c>
      <c r="C10" s="433"/>
      <c r="D10" s="108">
        <f>Roteiros!AO30</f>
        <v>26.229479999999995</v>
      </c>
      <c r="E10" s="108">
        <v>0</v>
      </c>
      <c r="F10" s="108">
        <v>0</v>
      </c>
      <c r="G10" s="107">
        <f>SUM(B10:F10)</f>
        <v>52.45895999999999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52.45895999999999</v>
      </c>
      <c r="H11" s="103"/>
      <c r="I11" s="103"/>
    </row>
    <row r="12" spans="1:10" ht="15.75">
      <c r="A12" s="258" t="s">
        <v>113</v>
      </c>
      <c r="B12" s="428" t="s">
        <v>419</v>
      </c>
      <c r="C12" s="429"/>
      <c r="D12" s="102" t="s">
        <v>419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0.8743159999999999</v>
      </c>
      <c r="C13" s="429"/>
      <c r="D13" s="102">
        <f>D10/30</f>
        <v>0.8743159999999999</v>
      </c>
      <c r="E13" s="102">
        <f>E10/30</f>
        <v>0</v>
      </c>
      <c r="F13" s="102">
        <f>F10/30</f>
        <v>0</v>
      </c>
      <c r="G13" s="107">
        <f>SUM(B13:F13)</f>
        <v>1.7486319999999997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3.7486319999999997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17.78988888888889</v>
      </c>
      <c r="H16" s="103"/>
      <c r="I16" s="103"/>
    </row>
    <row r="17" spans="1:9" ht="15.75">
      <c r="A17" s="109" t="s">
        <v>118</v>
      </c>
      <c r="B17" s="414" t="s">
        <v>440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110000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1049.1791999999998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1639.3424999999997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786.8843999999999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135.86171187199997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2562.0886118719995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1049.1791999999998</v>
      </c>
      <c r="G31" s="276">
        <f>H30</f>
        <v>0.12949333333333332</v>
      </c>
      <c r="H31" s="286">
        <f>_xlfn.IFERROR(F31*G31,0)</f>
        <v>135.86171187199997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11825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5186.866666666667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54311.558842454404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2313.568720985313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0.4259809090909091</v>
      </c>
      <c r="C44" s="121"/>
      <c r="D44" s="145" t="s">
        <v>138</v>
      </c>
      <c r="E44" s="146" t="s">
        <v>2</v>
      </c>
      <c r="F44" s="147">
        <v>1</v>
      </c>
      <c r="G44" s="148">
        <f>G18</f>
        <v>110000</v>
      </c>
      <c r="H44" s="149">
        <f>F44*G44</f>
        <v>110000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110000</v>
      </c>
      <c r="H47" s="154">
        <f>F47*G47/100</f>
        <v>77803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77803</v>
      </c>
      <c r="H48" s="163">
        <f>_xlfn.IFERROR(G48/F48,0)*12</f>
        <v>5186.866666666667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4875.657332857312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4875.657332857312</v>
      </c>
      <c r="F54" s="149">
        <f>D54*E54/1</f>
        <v>1460.259371190765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1460.259371190765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1460.259371190765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6335.916704048077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6.038927100392457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2562.0886118719995</v>
      </c>
      <c r="G65" s="202">
        <f>F65/$F$74</f>
        <v>0.4043753621689908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1639.3424999999997</v>
      </c>
      <c r="G66" s="206">
        <f aca="true" t="shared" si="0" ref="G66:G72">F66/$F$74</f>
        <v>0.2587380132306046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786.8843999999999</v>
      </c>
      <c r="G67" s="206">
        <f t="shared" si="0"/>
        <v>0.1241942463506902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135.86171187199997</v>
      </c>
      <c r="G68" s="206">
        <f t="shared" si="0"/>
        <v>0.021443102587696054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2313.568720985313</v>
      </c>
      <c r="G69" s="202">
        <f t="shared" si="0"/>
        <v>0.36515137888526095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2313.568720985313</v>
      </c>
      <c r="G70" s="206">
        <f>F70/$F$74</f>
        <v>0.36515137888526095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4875.657332857312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1460.259371190765</v>
      </c>
      <c r="G72" s="202">
        <f t="shared" si="0"/>
        <v>0.23047325894574838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6335.916704048077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52.45895999999999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1049.1791999999998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6.038927100392457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289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52.45895999999999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6.038927100392457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439</v>
      </c>
      <c r="B94" s="246" t="str">
        <f>B17</f>
        <v>Veículo no mínimo de 16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B13:C13"/>
    <mergeCell ref="A20:F20"/>
    <mergeCell ref="A15:F15"/>
    <mergeCell ref="A16:F16"/>
    <mergeCell ref="B17:G17"/>
    <mergeCell ref="A18:F18"/>
    <mergeCell ref="A19:F19"/>
    <mergeCell ref="A1:H1"/>
    <mergeCell ref="A2:H2"/>
    <mergeCell ref="A3:H3"/>
    <mergeCell ref="A4:H4"/>
    <mergeCell ref="A11:F11"/>
    <mergeCell ref="A14:F14"/>
    <mergeCell ref="B7:C7"/>
    <mergeCell ref="B8:C8"/>
    <mergeCell ref="B10:C10"/>
    <mergeCell ref="B12:C12"/>
    <mergeCell ref="A63:G63"/>
    <mergeCell ref="F85:H86"/>
    <mergeCell ref="A21:F21"/>
    <mergeCell ref="A22:F22"/>
    <mergeCell ref="A23:F23"/>
    <mergeCell ref="A33:H33"/>
    <mergeCell ref="A50:G50"/>
    <mergeCell ref="A52:G5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8" width="15.281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321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22</v>
      </c>
      <c r="C8" s="431"/>
      <c r="D8" s="104" t="s">
        <v>426</v>
      </c>
      <c r="E8" s="104"/>
      <c r="F8" s="104"/>
      <c r="G8" s="105">
        <f>SUM(B8:F8)</f>
        <v>22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Roteiros!AV26</f>
        <v>28.714490000000005</v>
      </c>
      <c r="C10" s="433"/>
      <c r="D10" s="108">
        <f>Roteiros!AV31</f>
        <v>36.714490000000005</v>
      </c>
      <c r="E10" s="108">
        <v>0</v>
      </c>
      <c r="F10" s="108">
        <v>0</v>
      </c>
      <c r="G10" s="107">
        <f>SUM(B10:F10)</f>
        <v>65.42898000000001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65.42898000000001</v>
      </c>
      <c r="H11" s="103"/>
      <c r="I11" s="103"/>
    </row>
    <row r="12" spans="1:10" ht="15.75">
      <c r="A12" s="258" t="s">
        <v>113</v>
      </c>
      <c r="B12" s="428" t="s">
        <v>431</v>
      </c>
      <c r="C12" s="429"/>
      <c r="D12" s="102" t="s">
        <v>431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0.9571496666666668</v>
      </c>
      <c r="C13" s="429"/>
      <c r="D13" s="102">
        <f>D10/30</f>
        <v>1.2238163333333334</v>
      </c>
      <c r="E13" s="102">
        <f>E10/30</f>
        <v>0</v>
      </c>
      <c r="F13" s="102">
        <f>F10/30</f>
        <v>0</v>
      </c>
      <c r="G13" s="107">
        <f>SUM(B13:F13)</f>
        <v>2.180966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4.180966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12.129469696969698</v>
      </c>
      <c r="H16" s="103"/>
      <c r="I16" s="103"/>
    </row>
    <row r="17" spans="1:9" ht="15.75">
      <c r="A17" s="109" t="s">
        <v>118</v>
      </c>
      <c r="B17" s="414" t="s">
        <v>227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375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1308.5796000000003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2044.6556250000003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981.4347000000002</v>
      </c>
      <c r="C27" s="116"/>
      <c r="D27" s="267" t="s">
        <v>219</v>
      </c>
      <c r="E27" s="268" t="s">
        <v>2</v>
      </c>
      <c r="F27" s="269">
        <v>4</v>
      </c>
      <c r="G27" s="270">
        <v>1728</v>
      </c>
      <c r="H27" s="271">
        <f>F27*G27</f>
        <v>6912</v>
      </c>
      <c r="I27" s="103"/>
    </row>
    <row r="28" spans="1:9" ht="15.75">
      <c r="A28" s="109" t="str">
        <f>D25</f>
        <v>1.3 Pneus</v>
      </c>
      <c r="B28" s="287">
        <f>H31</f>
        <v>169.452334336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8</v>
      </c>
      <c r="G29" s="270">
        <v>350</v>
      </c>
      <c r="H29" s="271">
        <f>F29*G29</f>
        <v>2800</v>
      </c>
      <c r="I29" s="103"/>
    </row>
    <row r="30" spans="1:9" ht="15.75">
      <c r="A30" s="102" t="s">
        <v>121</v>
      </c>
      <c r="B30" s="120">
        <f>SUM(B26:B29)</f>
        <v>3195.5426593360007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9712</v>
      </c>
      <c r="H30" s="276">
        <f>_xlfn.IFERROR(G30/F30,"-")</f>
        <v>0.12949333333333332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1308.5796000000003</v>
      </c>
      <c r="G31" s="276">
        <f>H30</f>
        <v>0.12949333333333332</v>
      </c>
      <c r="H31" s="286">
        <f>_xlfn.IFERROR(F31*G31,0)</f>
        <v>169.452334336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2595.0906998205437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0.4751097727272727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5790.633359156544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5790.633359156544</v>
      </c>
      <c r="F54" s="149">
        <f>D54*E54/1</f>
        <v>1734.294691067385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1734.294691067385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1734.294691067385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7524.928050223929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5.750454959120505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3195.5426593360007</v>
      </c>
      <c r="G65" s="202">
        <f>F65/$F$74</f>
        <v>0.42466089217170744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2044.6556250000003</v>
      </c>
      <c r="G66" s="206">
        <f aca="true" t="shared" si="0" ref="G66:G72">F66/$F$74</f>
        <v>0.2717176312322554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981.4347000000002</v>
      </c>
      <c r="G67" s="206">
        <f t="shared" si="0"/>
        <v>0.1304244629914826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169.452334336</v>
      </c>
      <c r="G68" s="206">
        <f t="shared" si="0"/>
        <v>0.0225187979479694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2595.0906998205437</v>
      </c>
      <c r="G69" s="202">
        <f t="shared" si="0"/>
        <v>0.34486584888254423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2595.0906998205437</v>
      </c>
      <c r="G70" s="206">
        <f>F70/$F$74</f>
        <v>0.34486584888254423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5790.633359156544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1734.294691067385</v>
      </c>
      <c r="G72" s="202">
        <f t="shared" si="0"/>
        <v>0.23047325894574838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7524.928050223929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65.42898000000001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1308.5796000000003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5.750454959120505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290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65.42898000000001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5.750454959120505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23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B13:C13"/>
    <mergeCell ref="A20:F20"/>
    <mergeCell ref="A15:F15"/>
    <mergeCell ref="A16:F16"/>
    <mergeCell ref="B17:G17"/>
    <mergeCell ref="A18:F18"/>
    <mergeCell ref="A19:F19"/>
    <mergeCell ref="A1:H1"/>
    <mergeCell ref="A2:H2"/>
    <mergeCell ref="A3:H3"/>
    <mergeCell ref="A4:H4"/>
    <mergeCell ref="A11:F11"/>
    <mergeCell ref="A14:F14"/>
    <mergeCell ref="B7:C7"/>
    <mergeCell ref="B8:C8"/>
    <mergeCell ref="B10:C10"/>
    <mergeCell ref="B12:C12"/>
    <mergeCell ref="A63:G63"/>
    <mergeCell ref="F85:H86"/>
    <mergeCell ref="A21:F21"/>
    <mergeCell ref="A22:F22"/>
    <mergeCell ref="A23:F23"/>
    <mergeCell ref="A33:H33"/>
    <mergeCell ref="A50:G50"/>
    <mergeCell ref="A52:G5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25">
      <selection activeCell="G20" sqref="G2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00390625" style="0" bestFit="1" customWidth="1"/>
    <col min="9" max="9" width="12.140625" style="0" bestFit="1" customWidth="1"/>
  </cols>
  <sheetData>
    <row r="1" spans="1:9" ht="16.5" thickBot="1">
      <c r="A1" s="408" t="s">
        <v>453</v>
      </c>
      <c r="B1" s="409"/>
      <c r="C1" s="409"/>
      <c r="D1" s="409"/>
      <c r="E1" s="409"/>
      <c r="F1" s="409"/>
      <c r="G1" s="409"/>
      <c r="H1" s="410"/>
      <c r="I1" s="95"/>
    </row>
    <row r="2" spans="1:9" ht="16.5" thickBot="1">
      <c r="A2" s="393" t="s">
        <v>382</v>
      </c>
      <c r="B2" s="394"/>
      <c r="C2" s="394"/>
      <c r="D2" s="394"/>
      <c r="E2" s="394"/>
      <c r="F2" s="394"/>
      <c r="G2" s="394"/>
      <c r="H2" s="395"/>
      <c r="I2" s="95"/>
    </row>
    <row r="3" spans="1:9" ht="16.5" thickBot="1">
      <c r="A3" s="408" t="s">
        <v>349</v>
      </c>
      <c r="B3" s="409"/>
      <c r="C3" s="409"/>
      <c r="D3" s="409"/>
      <c r="E3" s="409"/>
      <c r="F3" s="409"/>
      <c r="G3" s="409"/>
      <c r="H3" s="410"/>
      <c r="I3" s="95"/>
    </row>
    <row r="4" spans="1:9" ht="15.75" thickBot="1">
      <c r="A4" s="411" t="s">
        <v>9</v>
      </c>
      <c r="B4" s="412"/>
      <c r="C4" s="412"/>
      <c r="D4" s="412"/>
      <c r="E4" s="412"/>
      <c r="F4" s="412"/>
      <c r="G4" s="412"/>
      <c r="H4" s="413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396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108</v>
      </c>
      <c r="B7" s="428" t="s">
        <v>416</v>
      </c>
      <c r="C7" s="429"/>
      <c r="D7" s="102" t="s">
        <v>417</v>
      </c>
      <c r="E7" s="102" t="s">
        <v>414</v>
      </c>
      <c r="F7" s="102" t="s">
        <v>415</v>
      </c>
      <c r="G7" s="102" t="s">
        <v>109</v>
      </c>
      <c r="H7" s="103"/>
      <c r="I7" s="103"/>
    </row>
    <row r="8" spans="1:9" ht="15.75">
      <c r="A8" s="101" t="s">
        <v>110</v>
      </c>
      <c r="B8" s="430">
        <v>24</v>
      </c>
      <c r="C8" s="431"/>
      <c r="D8" s="104" t="s">
        <v>435</v>
      </c>
      <c r="E8" s="104"/>
      <c r="F8" s="104"/>
      <c r="G8" s="105">
        <f>SUM(B8:F8)</f>
        <v>24</v>
      </c>
      <c r="H8" s="103"/>
      <c r="I8" s="103"/>
    </row>
    <row r="9" spans="1:9" ht="15.75" customHeight="1" hidden="1">
      <c r="A9" s="101" t="s">
        <v>111</v>
      </c>
      <c r="B9" s="374"/>
      <c r="C9" s="374"/>
      <c r="D9" s="374"/>
      <c r="E9" s="374"/>
      <c r="F9" s="374"/>
      <c r="G9" s="106">
        <v>0</v>
      </c>
      <c r="H9" s="103"/>
      <c r="I9" s="103"/>
    </row>
    <row r="10" spans="1:9" ht="15.75">
      <c r="A10" s="101" t="s">
        <v>249</v>
      </c>
      <c r="B10" s="432">
        <f>Roteiros!BC23</f>
        <v>40.84086</v>
      </c>
      <c r="C10" s="433"/>
      <c r="D10" s="108">
        <f>Roteiros!BC28</f>
        <v>40.84086</v>
      </c>
      <c r="E10" s="108">
        <v>0</v>
      </c>
      <c r="F10" s="108">
        <v>0</v>
      </c>
      <c r="G10" s="107">
        <f>SUM(B10:F10)</f>
        <v>81.68172</v>
      </c>
      <c r="H10" s="103"/>
      <c r="I10" s="103"/>
    </row>
    <row r="11" spans="1:9" ht="15.75">
      <c r="A11" s="405" t="s">
        <v>112</v>
      </c>
      <c r="B11" s="406"/>
      <c r="C11" s="406"/>
      <c r="D11" s="406"/>
      <c r="E11" s="406"/>
      <c r="F11" s="407"/>
      <c r="G11" s="108">
        <f>G10+G9</f>
        <v>81.68172</v>
      </c>
      <c r="H11" s="103"/>
      <c r="I11" s="103"/>
    </row>
    <row r="12" spans="1:10" ht="15.75">
      <c r="A12" s="258" t="s">
        <v>113</v>
      </c>
      <c r="B12" s="428" t="s">
        <v>421</v>
      </c>
      <c r="C12" s="429"/>
      <c r="D12" s="102" t="s">
        <v>421</v>
      </c>
      <c r="E12" s="102" t="s">
        <v>420</v>
      </c>
      <c r="F12" s="102" t="s">
        <v>420</v>
      </c>
      <c r="G12" s="109" t="s">
        <v>114</v>
      </c>
      <c r="H12" s="103"/>
      <c r="I12" s="103"/>
      <c r="J12" s="103"/>
    </row>
    <row r="13" spans="1:10" ht="15.75">
      <c r="A13" s="258" t="s">
        <v>115</v>
      </c>
      <c r="B13" s="428">
        <f>B10/30</f>
        <v>1.361362</v>
      </c>
      <c r="C13" s="429"/>
      <c r="D13" s="102">
        <f>D10/30</f>
        <v>1.361362</v>
      </c>
      <c r="E13" s="102">
        <f>E10/30</f>
        <v>0</v>
      </c>
      <c r="F13" s="102">
        <f>F10/30</f>
        <v>0</v>
      </c>
      <c r="G13" s="107">
        <f>SUM(B13:F13)</f>
        <v>2.722724</v>
      </c>
      <c r="H13" s="110"/>
      <c r="I13" s="103"/>
      <c r="J13" s="103"/>
    </row>
    <row r="14" spans="1:10" ht="15.75">
      <c r="A14" s="405" t="s">
        <v>236</v>
      </c>
      <c r="B14" s="406"/>
      <c r="C14" s="406"/>
      <c r="D14" s="406"/>
      <c r="E14" s="406"/>
      <c r="F14" s="407"/>
      <c r="G14" s="107">
        <v>2</v>
      </c>
      <c r="H14" s="111"/>
      <c r="I14" s="111"/>
      <c r="J14" s="111"/>
    </row>
    <row r="15" spans="1:10" ht="15.75">
      <c r="A15" s="405" t="s">
        <v>116</v>
      </c>
      <c r="B15" s="406"/>
      <c r="C15" s="406"/>
      <c r="D15" s="406"/>
      <c r="E15" s="406"/>
      <c r="F15" s="407"/>
      <c r="G15" s="108">
        <f>(G14+G13)</f>
        <v>4.7227239999999995</v>
      </c>
      <c r="H15" s="111"/>
      <c r="I15" s="111"/>
      <c r="J15" s="111"/>
    </row>
    <row r="16" spans="1:9" ht="15.75">
      <c r="A16" s="405" t="s">
        <v>117</v>
      </c>
      <c r="B16" s="406"/>
      <c r="C16" s="406"/>
      <c r="D16" s="406"/>
      <c r="E16" s="406"/>
      <c r="F16" s="407"/>
      <c r="G16" s="112">
        <f>B39/12/(G8/2)</f>
        <v>11.118680555555557</v>
      </c>
      <c r="H16" s="103"/>
      <c r="I16" s="103"/>
    </row>
    <row r="17" spans="1:9" ht="15.75">
      <c r="A17" s="109" t="s">
        <v>118</v>
      </c>
      <c r="B17" s="414" t="s">
        <v>450</v>
      </c>
      <c r="C17" s="415"/>
      <c r="D17" s="415"/>
      <c r="E17" s="415"/>
      <c r="F17" s="415"/>
      <c r="G17" s="416"/>
      <c r="H17" s="103"/>
      <c r="I17" s="103"/>
    </row>
    <row r="18" spans="1:9" ht="15.75">
      <c r="A18" s="425" t="s">
        <v>446</v>
      </c>
      <c r="B18" s="426"/>
      <c r="C18" s="426"/>
      <c r="D18" s="426"/>
      <c r="E18" s="426"/>
      <c r="F18" s="427"/>
      <c r="G18" s="264">
        <v>112000</v>
      </c>
      <c r="H18" s="103"/>
      <c r="I18" s="103"/>
    </row>
    <row r="19" spans="1:9" ht="15.75">
      <c r="A19" s="405" t="s">
        <v>229</v>
      </c>
      <c r="B19" s="406"/>
      <c r="C19" s="406"/>
      <c r="D19" s="406"/>
      <c r="E19" s="406"/>
      <c r="F19" s="407"/>
      <c r="G19" s="265">
        <v>6.25</v>
      </c>
      <c r="H19" s="103"/>
      <c r="I19" s="103"/>
    </row>
    <row r="20" spans="1:9" ht="15.75">
      <c r="A20" s="405" t="s">
        <v>237</v>
      </c>
      <c r="B20" s="406"/>
      <c r="C20" s="406"/>
      <c r="D20" s="406"/>
      <c r="E20" s="406"/>
      <c r="F20" s="407"/>
      <c r="G20" s="265">
        <v>4</v>
      </c>
      <c r="H20" s="103"/>
      <c r="I20" s="103"/>
    </row>
    <row r="21" spans="1:9" ht="15.75">
      <c r="A21" s="405" t="s">
        <v>230</v>
      </c>
      <c r="B21" s="406"/>
      <c r="C21" s="406"/>
      <c r="D21" s="406"/>
      <c r="E21" s="406"/>
      <c r="F21" s="407"/>
      <c r="G21" s="265">
        <v>0.75</v>
      </c>
      <c r="H21" s="103"/>
      <c r="I21" s="103"/>
    </row>
    <row r="22" spans="1:9" ht="15.75">
      <c r="A22" s="405" t="s">
        <v>119</v>
      </c>
      <c r="B22" s="406"/>
      <c r="C22" s="406"/>
      <c r="D22" s="406"/>
      <c r="E22" s="406"/>
      <c r="F22" s="407"/>
      <c r="G22" s="113">
        <v>20</v>
      </c>
      <c r="H22" s="103"/>
      <c r="I22" s="103"/>
    </row>
    <row r="23" spans="1:9" ht="15.75">
      <c r="A23" s="405" t="s">
        <v>218</v>
      </c>
      <c r="B23" s="406"/>
      <c r="C23" s="406"/>
      <c r="D23" s="406"/>
      <c r="E23" s="406"/>
      <c r="F23" s="407"/>
      <c r="G23" s="107">
        <f>G22*G10</f>
        <v>1633.6344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4" t="s">
        <v>120</v>
      </c>
      <c r="B25" s="115" t="s">
        <v>107</v>
      </c>
      <c r="C25" s="96"/>
      <c r="D25" s="281" t="s">
        <v>224</v>
      </c>
      <c r="E25" s="282"/>
      <c r="F25" s="282"/>
      <c r="G25" s="283"/>
      <c r="H25" s="284"/>
      <c r="I25" s="103"/>
    </row>
    <row r="26" spans="1:9" ht="16.5" thickBot="1">
      <c r="A26" s="109" t="s">
        <v>225</v>
      </c>
      <c r="B26" s="287">
        <f>(G22*G11*G19)/G20</f>
        <v>2552.55375</v>
      </c>
      <c r="C26" s="116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09" t="s">
        <v>226</v>
      </c>
      <c r="B27" s="287">
        <f>G21*G23</f>
        <v>1225.2258</v>
      </c>
      <c r="C27" s="116"/>
      <c r="D27" s="267" t="s">
        <v>219</v>
      </c>
      <c r="E27" s="268" t="s">
        <v>2</v>
      </c>
      <c r="F27" s="269">
        <v>6</v>
      </c>
      <c r="G27" s="270">
        <v>1900</v>
      </c>
      <c r="H27" s="271">
        <f>F27*G27</f>
        <v>11400</v>
      </c>
      <c r="I27" s="103"/>
    </row>
    <row r="28" spans="1:9" ht="15.75">
      <c r="A28" s="109" t="str">
        <f>D25</f>
        <v>1.3 Pneus</v>
      </c>
      <c r="B28" s="287">
        <f>H31</f>
        <v>339.7959552</v>
      </c>
      <c r="C28" s="117"/>
      <c r="D28" s="267" t="s">
        <v>223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0"/>
      <c r="C29" s="121"/>
      <c r="D29" s="267" t="s">
        <v>220</v>
      </c>
      <c r="E29" s="268" t="s">
        <v>2</v>
      </c>
      <c r="F29" s="288">
        <f>F27*F28</f>
        <v>12</v>
      </c>
      <c r="G29" s="270">
        <v>350</v>
      </c>
      <c r="H29" s="271">
        <f>F29*G29</f>
        <v>4200</v>
      </c>
      <c r="I29" s="103"/>
    </row>
    <row r="30" spans="1:9" ht="15.75">
      <c r="A30" s="102" t="s">
        <v>121</v>
      </c>
      <c r="B30" s="120">
        <f>SUM(B26:B29)</f>
        <v>4117.5755052</v>
      </c>
      <c r="C30" s="121"/>
      <c r="D30" s="273" t="s">
        <v>246</v>
      </c>
      <c r="E30" s="274" t="s">
        <v>221</v>
      </c>
      <c r="F30" s="275">
        <v>75000</v>
      </c>
      <c r="G30" s="276">
        <f>H27+H29</f>
        <v>15600</v>
      </c>
      <c r="H30" s="276">
        <f>_xlfn.IFERROR(G30/F30,"-")</f>
        <v>0.208</v>
      </c>
      <c r="I30" s="103"/>
    </row>
    <row r="31" spans="1:9" ht="15.75">
      <c r="A31" s="122"/>
      <c r="B31" s="121"/>
      <c r="C31" s="121"/>
      <c r="D31" s="273" t="s">
        <v>222</v>
      </c>
      <c r="E31" s="274" t="s">
        <v>3</v>
      </c>
      <c r="F31" s="277">
        <f>G23</f>
        <v>1633.6344</v>
      </c>
      <c r="G31" s="276">
        <f>H30</f>
        <v>0.208</v>
      </c>
      <c r="H31" s="286">
        <f>_xlfn.IFERROR(F31*G31,0)</f>
        <v>339.7959552</v>
      </c>
      <c r="I31" s="103"/>
    </row>
    <row r="32" spans="1:9" ht="12" customHeight="1">
      <c r="A32" s="122"/>
      <c r="B32" s="123"/>
      <c r="C32" s="123"/>
      <c r="D32" s="103"/>
      <c r="E32" s="103"/>
      <c r="F32" s="103"/>
      <c r="G32" s="103"/>
      <c r="H32" s="103"/>
      <c r="I32" s="103"/>
    </row>
    <row r="33" spans="1:9" ht="15.75">
      <c r="A33" s="418" t="s">
        <v>122</v>
      </c>
      <c r="B33" s="419"/>
      <c r="C33" s="419"/>
      <c r="D33" s="419"/>
      <c r="E33" s="419"/>
      <c r="F33" s="419"/>
      <c r="G33" s="419"/>
      <c r="H33" s="419"/>
      <c r="I33" s="95"/>
    </row>
    <row r="34" spans="1:9" ht="15.75">
      <c r="A34" s="124" t="s">
        <v>447</v>
      </c>
      <c r="B34" s="125">
        <f>G44*0.1075</f>
        <v>12040</v>
      </c>
      <c r="C34" s="126"/>
      <c r="D34" s="127" t="s">
        <v>123</v>
      </c>
      <c r="E34" s="127" t="s">
        <v>124</v>
      </c>
      <c r="F34" s="127" t="s">
        <v>125</v>
      </c>
      <c r="G34" s="127" t="s">
        <v>126</v>
      </c>
      <c r="H34" s="127" t="s">
        <v>109</v>
      </c>
      <c r="I34" s="97"/>
    </row>
    <row r="35" spans="1:9" ht="15.75">
      <c r="A35" s="119" t="s">
        <v>127</v>
      </c>
      <c r="B35" s="128">
        <v>0</v>
      </c>
      <c r="C35" s="126"/>
      <c r="D35" s="106">
        <f>1799.53*1.0889622</f>
        <v>1959.6201477660002</v>
      </c>
      <c r="E35" s="129">
        <f>'Encargos Sociais'!C38</f>
        <v>0.3767166</v>
      </c>
      <c r="F35" s="130">
        <f>(D35*E35)+D35</f>
        <v>2697.8415871239054</v>
      </c>
      <c r="G35" s="131">
        <v>11.2</v>
      </c>
      <c r="H35" s="108">
        <f>F35*G35</f>
        <v>30215.825775787736</v>
      </c>
      <c r="I35" s="97"/>
    </row>
    <row r="36" spans="1:9" ht="15.75">
      <c r="A36" s="119" t="s">
        <v>128</v>
      </c>
      <c r="B36" s="128">
        <v>85.22</v>
      </c>
      <c r="C36" s="126"/>
      <c r="D36" s="102" t="s">
        <v>129</v>
      </c>
      <c r="E36" s="102" t="s">
        <v>130</v>
      </c>
      <c r="F36" s="102" t="s">
        <v>125</v>
      </c>
      <c r="G36" s="102" t="s">
        <v>126</v>
      </c>
      <c r="H36" s="102" t="s">
        <v>109</v>
      </c>
      <c r="I36" s="97"/>
    </row>
    <row r="37" spans="1:9" ht="15.75">
      <c r="A37" s="119" t="s">
        <v>438</v>
      </c>
      <c r="B37" s="128">
        <v>1000</v>
      </c>
      <c r="C37" s="126"/>
      <c r="D37" s="132">
        <f>17.74*0.9493</f>
        <v>16.840581999999998</v>
      </c>
      <c r="E37" s="133">
        <f>G22</f>
        <v>20</v>
      </c>
      <c r="F37" s="134">
        <f>D37*E37</f>
        <v>336.81163999999995</v>
      </c>
      <c r="G37" s="135">
        <v>10</v>
      </c>
      <c r="H37" s="108">
        <f>F37*G37</f>
        <v>3368.1163999999994</v>
      </c>
      <c r="I37" s="97"/>
    </row>
    <row r="38" spans="1:9" ht="15.75">
      <c r="A38" s="119" t="s">
        <v>131</v>
      </c>
      <c r="B38" s="128">
        <f>H48</f>
        <v>5281.173333333334</v>
      </c>
      <c r="C38" s="126"/>
      <c r="D38" s="102" t="s">
        <v>235</v>
      </c>
      <c r="E38" s="102" t="s">
        <v>130</v>
      </c>
      <c r="F38" s="102" t="s">
        <v>125</v>
      </c>
      <c r="G38" s="102" t="s">
        <v>126</v>
      </c>
      <c r="H38" s="102" t="s">
        <v>109</v>
      </c>
      <c r="I38" s="97"/>
    </row>
    <row r="39" spans="1:9" ht="15.75">
      <c r="A39" s="119" t="s">
        <v>133</v>
      </c>
      <c r="B39" s="128">
        <f>1450*1.1042</f>
        <v>1601.0900000000001</v>
      </c>
      <c r="C39" s="126"/>
      <c r="D39" s="132">
        <f>128.68*0.8</f>
        <v>102.94400000000002</v>
      </c>
      <c r="E39" s="133">
        <v>1</v>
      </c>
      <c r="F39" s="134">
        <f>D39*E39</f>
        <v>102.94400000000002</v>
      </c>
      <c r="G39" s="135">
        <v>10</v>
      </c>
      <c r="H39" s="108">
        <f>F39*G39</f>
        <v>1029.44</v>
      </c>
      <c r="I39" s="97"/>
    </row>
    <row r="40" spans="1:9" ht="15.75">
      <c r="A40" s="119" t="s">
        <v>134</v>
      </c>
      <c r="B40" s="138">
        <v>1</v>
      </c>
      <c r="C40" s="126"/>
      <c r="D40" s="136" t="s">
        <v>132</v>
      </c>
      <c r="E40" s="133"/>
      <c r="F40" s="137"/>
      <c r="G40" s="135"/>
      <c r="H40" s="108">
        <f>H35+H37+H39</f>
        <v>34613.38217578774</v>
      </c>
      <c r="I40" s="97"/>
    </row>
    <row r="41" spans="1:9" ht="15.75" thickBot="1">
      <c r="A41" s="119" t="s">
        <v>136</v>
      </c>
      <c r="B41" s="132">
        <f>H40*B40</f>
        <v>34613.38217578774</v>
      </c>
      <c r="C41" s="126"/>
      <c r="D41" s="103"/>
      <c r="E41" s="259"/>
      <c r="F41" s="259"/>
      <c r="G41" s="259"/>
      <c r="H41" s="259"/>
      <c r="I41" s="97"/>
    </row>
    <row r="42" spans="1:9" ht="16.5" thickBot="1">
      <c r="A42" s="109" t="s">
        <v>137</v>
      </c>
      <c r="B42" s="120">
        <f>SUM(B34:B39)+B41</f>
        <v>54620.86550912107</v>
      </c>
      <c r="C42" s="139"/>
      <c r="D42" s="140" t="s">
        <v>135</v>
      </c>
      <c r="E42" s="141"/>
      <c r="F42" s="141"/>
      <c r="G42" s="103"/>
      <c r="H42" s="103"/>
      <c r="I42" s="97"/>
    </row>
    <row r="43" spans="1:9" ht="16.5" thickBot="1">
      <c r="A43" s="109" t="s">
        <v>139</v>
      </c>
      <c r="B43" s="120">
        <f>B42/10*B44</f>
        <v>2931.355368644299</v>
      </c>
      <c r="C43" s="123"/>
      <c r="D43" s="142" t="s">
        <v>10</v>
      </c>
      <c r="E43" s="143" t="s">
        <v>11</v>
      </c>
      <c r="F43" s="143" t="s">
        <v>6</v>
      </c>
      <c r="G43" s="144" t="s">
        <v>91</v>
      </c>
      <c r="H43" s="144" t="s">
        <v>12</v>
      </c>
      <c r="I43" s="97"/>
    </row>
    <row r="44" spans="1:9" ht="15.75">
      <c r="A44" s="155" t="s">
        <v>140</v>
      </c>
      <c r="B44" s="156">
        <f>(G15*5)/44</f>
        <v>0.5366731818181818</v>
      </c>
      <c r="C44" s="121"/>
      <c r="D44" s="145" t="s">
        <v>138</v>
      </c>
      <c r="E44" s="146" t="s">
        <v>2</v>
      </c>
      <c r="F44" s="147">
        <v>1</v>
      </c>
      <c r="G44" s="148">
        <f>G18</f>
        <v>112000</v>
      </c>
      <c r="H44" s="149">
        <f>F44*G44</f>
        <v>112000</v>
      </c>
      <c r="I44" s="97"/>
    </row>
    <row r="45" spans="3:9" ht="15.75">
      <c r="C45" s="121"/>
      <c r="D45" s="150" t="s">
        <v>26</v>
      </c>
      <c r="E45" s="151" t="s">
        <v>27</v>
      </c>
      <c r="F45" s="152">
        <v>15</v>
      </c>
      <c r="G45" s="153"/>
      <c r="H45" s="154"/>
      <c r="I45" s="97"/>
    </row>
    <row r="46" spans="3:9" ht="15.75">
      <c r="C46" s="157"/>
      <c r="D46" s="150" t="s">
        <v>87</v>
      </c>
      <c r="E46" s="151" t="s">
        <v>27</v>
      </c>
      <c r="F46" s="158">
        <v>0</v>
      </c>
      <c r="G46" s="154"/>
      <c r="H46" s="154"/>
      <c r="I46" s="97"/>
    </row>
    <row r="47" spans="1:9" ht="15">
      <c r="A47" s="259"/>
      <c r="B47" s="259"/>
      <c r="C47" s="259"/>
      <c r="D47" s="150" t="s">
        <v>141</v>
      </c>
      <c r="E47" s="151" t="s">
        <v>0</v>
      </c>
      <c r="F47" s="159">
        <f>Depreciação!B17</f>
        <v>70.73</v>
      </c>
      <c r="G47" s="154">
        <f>H44</f>
        <v>112000</v>
      </c>
      <c r="H47" s="154">
        <f>F47*G47/100</f>
        <v>79217.6</v>
      </c>
      <c r="I47" s="97"/>
    </row>
    <row r="48" spans="1:9" ht="16.5" thickBot="1">
      <c r="A48" s="118"/>
      <c r="B48" s="118"/>
      <c r="C48" s="118"/>
      <c r="D48" s="160" t="s">
        <v>142</v>
      </c>
      <c r="E48" s="161" t="s">
        <v>1</v>
      </c>
      <c r="F48" s="162">
        <f>F45*12</f>
        <v>180</v>
      </c>
      <c r="G48" s="163">
        <f>IF(F46&lt;=F45,H47,0)</f>
        <v>79217.6</v>
      </c>
      <c r="H48" s="163">
        <f>_xlfn.IFERROR(G48/F48,0)*12</f>
        <v>5281.173333333334</v>
      </c>
      <c r="I48" s="97"/>
    </row>
    <row r="49" spans="1:9" ht="15.75" thickTop="1">
      <c r="A49" s="117"/>
      <c r="B49" s="123"/>
      <c r="C49" s="123"/>
      <c r="D49" s="103"/>
      <c r="E49" s="103"/>
      <c r="F49" s="259"/>
      <c r="G49" s="259"/>
      <c r="H49" s="259"/>
      <c r="I49" s="97"/>
    </row>
    <row r="50" spans="1:9" ht="15.75">
      <c r="A50" s="418" t="s">
        <v>143</v>
      </c>
      <c r="B50" s="419"/>
      <c r="C50" s="419"/>
      <c r="D50" s="419"/>
      <c r="E50" s="419"/>
      <c r="F50" s="419"/>
      <c r="G50" s="420"/>
      <c r="H50" s="164">
        <f>($B$43+$B$30)</f>
        <v>7048.9308738443</v>
      </c>
      <c r="I50" s="97"/>
    </row>
    <row r="51" spans="1:9" ht="12.75">
      <c r="A51" s="165"/>
      <c r="B51" s="165"/>
      <c r="C51" s="165"/>
      <c r="D51" s="165"/>
      <c r="E51" s="165"/>
      <c r="F51" s="166"/>
      <c r="G51" s="166"/>
      <c r="H51" s="166"/>
      <c r="I51" s="97"/>
    </row>
    <row r="52" spans="1:9" ht="16.5" thickBot="1">
      <c r="A52" s="418" t="s">
        <v>144</v>
      </c>
      <c r="B52" s="419"/>
      <c r="C52" s="419"/>
      <c r="D52" s="419"/>
      <c r="E52" s="419"/>
      <c r="F52" s="419"/>
      <c r="G52" s="420"/>
      <c r="H52" s="166"/>
      <c r="I52" s="97"/>
    </row>
    <row r="53" spans="1:9" ht="16.5" thickBot="1">
      <c r="A53" s="167" t="s">
        <v>10</v>
      </c>
      <c r="B53" s="168" t="s">
        <v>11</v>
      </c>
      <c r="C53" s="168"/>
      <c r="D53" s="168" t="s">
        <v>6</v>
      </c>
      <c r="E53" s="169" t="s">
        <v>91</v>
      </c>
      <c r="F53" s="169" t="s">
        <v>12</v>
      </c>
      <c r="G53" s="170" t="s">
        <v>145</v>
      </c>
      <c r="H53" s="259"/>
      <c r="I53" s="171"/>
    </row>
    <row r="54" spans="1:9" ht="16.5" thickBot="1">
      <c r="A54" s="172" t="s">
        <v>4</v>
      </c>
      <c r="B54" s="173" t="s">
        <v>0</v>
      </c>
      <c r="C54" s="173"/>
      <c r="D54" s="174">
        <f>BDI!C21</f>
        <v>0.2995</v>
      </c>
      <c r="E54" s="149">
        <f>H50</f>
        <v>7048.9308738443</v>
      </c>
      <c r="F54" s="149">
        <f>D54*E54/1</f>
        <v>2111.154796716368</v>
      </c>
      <c r="G54" s="175"/>
      <c r="H54" s="103"/>
      <c r="I54" s="97"/>
    </row>
    <row r="55" spans="1:9" ht="16.5" thickBot="1">
      <c r="A55" s="176" t="s">
        <v>146</v>
      </c>
      <c r="B55" s="177"/>
      <c r="C55" s="177"/>
      <c r="D55" s="176"/>
      <c r="E55" s="178"/>
      <c r="F55" s="179"/>
      <c r="G55" s="180">
        <f>+F54</f>
        <v>2111.154796716368</v>
      </c>
      <c r="H55" s="103"/>
      <c r="I55" s="171"/>
    </row>
    <row r="56" spans="1:9" ht="15.75" thickBot="1">
      <c r="A56" s="165"/>
      <c r="B56" s="165"/>
      <c r="C56" s="165"/>
      <c r="D56" s="181"/>
      <c r="E56" s="181"/>
      <c r="F56" s="175"/>
      <c r="G56" s="175"/>
      <c r="H56" s="175"/>
      <c r="I56" s="97"/>
    </row>
    <row r="57" spans="1:9" ht="16.5" thickBot="1">
      <c r="A57" s="182" t="s">
        <v>147</v>
      </c>
      <c r="B57" s="183"/>
      <c r="C57" s="183"/>
      <c r="D57" s="184"/>
      <c r="E57" s="184"/>
      <c r="F57" s="185"/>
      <c r="G57" s="186"/>
      <c r="H57" s="187">
        <f>G55</f>
        <v>2111.154796716368</v>
      </c>
      <c r="I57" s="97"/>
    </row>
    <row r="58" spans="1:9" ht="13.5" thickBot="1">
      <c r="A58" s="165"/>
      <c r="B58" s="165"/>
      <c r="C58" s="165"/>
      <c r="D58" s="165"/>
      <c r="E58" s="165"/>
      <c r="F58" s="166"/>
      <c r="G58" s="166"/>
      <c r="H58" s="166"/>
      <c r="I58" s="97"/>
    </row>
    <row r="59" spans="1:9" ht="16.5" thickBot="1">
      <c r="A59" s="182" t="s">
        <v>148</v>
      </c>
      <c r="B59" s="183"/>
      <c r="C59" s="183"/>
      <c r="D59" s="183"/>
      <c r="E59" s="183"/>
      <c r="F59" s="188"/>
      <c r="G59" s="189"/>
      <c r="H59" s="190">
        <f>H50+H57</f>
        <v>9160.085670560667</v>
      </c>
      <c r="I59" s="97"/>
    </row>
    <row r="60" spans="1:9" ht="15.75" thickBot="1">
      <c r="A60" s="117"/>
      <c r="B60" s="123"/>
      <c r="C60" s="123"/>
      <c r="D60" s="103"/>
      <c r="E60" s="103"/>
      <c r="F60" s="259"/>
      <c r="G60" s="259"/>
      <c r="H60" s="103"/>
      <c r="I60" s="97"/>
    </row>
    <row r="61" spans="1:9" ht="16.5" thickBot="1">
      <c r="A61" s="191" t="s">
        <v>149</v>
      </c>
      <c r="B61" s="260"/>
      <c r="C61" s="260"/>
      <c r="D61" s="260"/>
      <c r="E61" s="260"/>
      <c r="F61" s="260"/>
      <c r="G61" s="260"/>
      <c r="H61" s="192">
        <f>H59/(G11*G22)</f>
        <v>5.607182164234953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421" t="s">
        <v>83</v>
      </c>
      <c r="B63" s="422"/>
      <c r="C63" s="422"/>
      <c r="D63" s="422"/>
      <c r="E63" s="422"/>
      <c r="F63" s="423"/>
      <c r="G63" s="424"/>
      <c r="H63" s="103"/>
      <c r="I63" s="103"/>
    </row>
    <row r="64" spans="1:9" ht="18">
      <c r="A64" s="193" t="s">
        <v>82</v>
      </c>
      <c r="B64" s="194"/>
      <c r="C64" s="194"/>
      <c r="D64" s="194"/>
      <c r="E64" s="195"/>
      <c r="F64" s="196" t="s">
        <v>5</v>
      </c>
      <c r="G64" s="197" t="s">
        <v>0</v>
      </c>
      <c r="H64" s="103"/>
      <c r="I64" s="103"/>
    </row>
    <row r="65" spans="1:9" ht="18">
      <c r="A65" s="198" t="str">
        <f>A25</f>
        <v>1- CUSTO VARIÁVEL</v>
      </c>
      <c r="B65" s="199"/>
      <c r="C65" s="199"/>
      <c r="D65" s="200"/>
      <c r="E65" s="201"/>
      <c r="F65" s="195">
        <f>SUM(F66:F68)</f>
        <v>4117.5755052</v>
      </c>
      <c r="G65" s="202">
        <f>F65/$F$74</f>
        <v>0.44951277240051984</v>
      </c>
      <c r="H65" s="103"/>
      <c r="I65" s="103"/>
    </row>
    <row r="66" spans="1:9" ht="18">
      <c r="A66" s="203" t="str">
        <f>A26</f>
        <v>1.1 Combustível </v>
      </c>
      <c r="B66" s="204"/>
      <c r="C66" s="204"/>
      <c r="D66" s="194"/>
      <c r="E66" s="205"/>
      <c r="F66" s="205">
        <f>B26</f>
        <v>2552.55375</v>
      </c>
      <c r="G66" s="206">
        <f aca="true" t="shared" si="0" ref="G66:G72">F66/$F$74</f>
        <v>0.27866046692156804</v>
      </c>
      <c r="H66" s="103"/>
      <c r="I66" s="103"/>
    </row>
    <row r="67" spans="1:9" ht="18">
      <c r="A67" s="207" t="str">
        <f>A27</f>
        <v>1.2 Manutenção e insumos </v>
      </c>
      <c r="B67" s="208"/>
      <c r="C67" s="208"/>
      <c r="D67" s="209"/>
      <c r="E67" s="210"/>
      <c r="F67" s="211">
        <f>B27</f>
        <v>1225.2258</v>
      </c>
      <c r="G67" s="206">
        <f t="shared" si="0"/>
        <v>0.13375702412235263</v>
      </c>
      <c r="H67" s="103"/>
      <c r="I67" s="103"/>
    </row>
    <row r="68" spans="1:9" ht="18">
      <c r="A68" s="207" t="str">
        <f>A28</f>
        <v>1.3 Pneus</v>
      </c>
      <c r="B68" s="208"/>
      <c r="C68" s="208"/>
      <c r="D68" s="209"/>
      <c r="E68" s="210"/>
      <c r="F68" s="205">
        <f>B28</f>
        <v>339.7959552</v>
      </c>
      <c r="G68" s="206">
        <f t="shared" si="0"/>
        <v>0.03709528135659913</v>
      </c>
      <c r="H68" s="103"/>
      <c r="I68" s="103"/>
    </row>
    <row r="69" spans="1:9" ht="18">
      <c r="A69" s="212" t="str">
        <f>A33</f>
        <v>2 - TOTAL CUSTO FIXO MENSAL </v>
      </c>
      <c r="B69" s="208"/>
      <c r="C69" s="208"/>
      <c r="D69" s="209"/>
      <c r="E69" s="210"/>
      <c r="F69" s="195">
        <f>SUM(F70)</f>
        <v>2931.355368644299</v>
      </c>
      <c r="G69" s="202">
        <f t="shared" si="0"/>
        <v>0.3200139686537317</v>
      </c>
      <c r="H69" s="103"/>
      <c r="I69" s="103"/>
    </row>
    <row r="70" spans="1:9" ht="18">
      <c r="A70" s="207" t="str">
        <f>A43</f>
        <v>2.1 TOTAL CUSTO FIXO MENSAL</v>
      </c>
      <c r="B70" s="208"/>
      <c r="C70" s="208"/>
      <c r="D70" s="209"/>
      <c r="E70" s="210"/>
      <c r="F70" s="205">
        <f>B43</f>
        <v>2931.355368644299</v>
      </c>
      <c r="G70" s="206">
        <f>F70/$F$74</f>
        <v>0.3200139686537317</v>
      </c>
      <c r="H70" s="103"/>
      <c r="I70" s="103"/>
    </row>
    <row r="71" spans="1:9" ht="18">
      <c r="A71" s="213" t="str">
        <f>A50</f>
        <v>3- CUSTO TOTAL MENSAL COM DESPESAS OPERACIONAIS</v>
      </c>
      <c r="B71" s="214"/>
      <c r="C71" s="214"/>
      <c r="D71" s="214"/>
      <c r="E71" s="215"/>
      <c r="F71" s="195">
        <f>F65+F69</f>
        <v>7048.9308738443</v>
      </c>
      <c r="G71" s="202">
        <f t="shared" si="0"/>
        <v>0.7695267410542517</v>
      </c>
      <c r="H71" s="103"/>
      <c r="I71" s="103"/>
    </row>
    <row r="72" spans="1:9" ht="18">
      <c r="A72" s="216" t="str">
        <f>A52</f>
        <v>4- BENEFÍCIOS E DESPESAS INDIRETAS </v>
      </c>
      <c r="B72" s="217"/>
      <c r="C72" s="217"/>
      <c r="D72" s="214"/>
      <c r="E72" s="195"/>
      <c r="F72" s="195">
        <f>H57</f>
        <v>2111.154796716368</v>
      </c>
      <c r="G72" s="202">
        <f t="shared" si="0"/>
        <v>0.23047325894574838</v>
      </c>
      <c r="H72" s="103"/>
      <c r="I72" s="103"/>
    </row>
    <row r="73" spans="1:9" ht="18.75" thickBot="1">
      <c r="A73" s="218"/>
      <c r="B73" s="219"/>
      <c r="C73" s="219"/>
      <c r="D73" s="220"/>
      <c r="E73" s="221"/>
      <c r="F73" s="222"/>
      <c r="G73" s="223"/>
      <c r="H73" s="103"/>
      <c r="I73" s="103"/>
    </row>
    <row r="74" spans="1:9" ht="18.75" thickBot="1">
      <c r="A74" s="224" t="str">
        <f>A59</f>
        <v>5- PREÇO MENSAL TOTAL COM O TRANSPORTE ESCOLAR </v>
      </c>
      <c r="B74" s="225"/>
      <c r="C74" s="225"/>
      <c r="D74" s="226"/>
      <c r="E74" s="226"/>
      <c r="F74" s="226">
        <f>F71+F72</f>
        <v>9160.085670560667</v>
      </c>
      <c r="G74" s="227">
        <f>G71+G72</f>
        <v>1</v>
      </c>
      <c r="H74" s="103"/>
      <c r="I74" s="103"/>
    </row>
    <row r="75" spans="1:9" ht="18">
      <c r="A75" s="228"/>
      <c r="B75" s="229"/>
      <c r="C75" s="229"/>
      <c r="D75" s="229"/>
      <c r="E75" s="229"/>
      <c r="F75" s="229"/>
      <c r="G75" s="230"/>
      <c r="H75" s="103"/>
      <c r="I75" s="103"/>
    </row>
    <row r="76" spans="1:9" ht="18">
      <c r="A76" s="231" t="s">
        <v>150</v>
      </c>
      <c r="B76" s="232"/>
      <c r="C76" s="232"/>
      <c r="D76" s="232"/>
      <c r="E76" s="232"/>
      <c r="F76" s="232"/>
      <c r="G76" s="233">
        <f>G11</f>
        <v>81.68172</v>
      </c>
      <c r="H76" s="103"/>
      <c r="I76" s="103"/>
    </row>
    <row r="77" spans="1:9" ht="18">
      <c r="A77" s="231" t="s">
        <v>151</v>
      </c>
      <c r="B77" s="232"/>
      <c r="C77" s="232"/>
      <c r="D77" s="232"/>
      <c r="E77" s="232"/>
      <c r="F77" s="232"/>
      <c r="G77" s="234">
        <f>G22</f>
        <v>20</v>
      </c>
      <c r="H77" s="103"/>
      <c r="I77" s="103"/>
    </row>
    <row r="78" spans="1:8" ht="18">
      <c r="A78" s="231" t="s">
        <v>152</v>
      </c>
      <c r="B78" s="232"/>
      <c r="C78" s="232"/>
      <c r="D78" s="232"/>
      <c r="E78" s="232"/>
      <c r="F78" s="232"/>
      <c r="G78" s="233">
        <f>G76*G77</f>
        <v>1633.6344</v>
      </c>
      <c r="H78" s="103"/>
    </row>
    <row r="79" spans="1:9" ht="18.75" thickBot="1">
      <c r="A79" s="235" t="s">
        <v>153</v>
      </c>
      <c r="B79" s="236"/>
      <c r="C79" s="236"/>
      <c r="D79" s="236"/>
      <c r="E79" s="236"/>
      <c r="F79" s="236"/>
      <c r="G79" s="237">
        <f>F74/G78</f>
        <v>5.607182164234953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8" t="s">
        <v>291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39" t="s">
        <v>253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39" t="s">
        <v>154</v>
      </c>
      <c r="B83" s="240">
        <f>G11</f>
        <v>81.68172</v>
      </c>
      <c r="C83" s="240"/>
      <c r="D83" s="241" t="s">
        <v>155</v>
      </c>
      <c r="E83" s="103"/>
      <c r="F83" s="103"/>
      <c r="G83" s="103"/>
      <c r="H83" s="103"/>
      <c r="I83" s="103"/>
    </row>
    <row r="84" spans="1:9" ht="15.75">
      <c r="A84" s="239" t="s">
        <v>238</v>
      </c>
      <c r="B84" s="241"/>
      <c r="C84" s="241"/>
      <c r="D84" s="241"/>
      <c r="E84" s="103"/>
      <c r="F84" s="103"/>
      <c r="G84" s="103"/>
      <c r="H84" s="103"/>
      <c r="I84" s="103"/>
    </row>
    <row r="85" spans="1:9" ht="15.75">
      <c r="A85" s="239" t="s">
        <v>156</v>
      </c>
      <c r="B85" s="242"/>
      <c r="C85" s="242"/>
      <c r="D85" s="243">
        <f>H61</f>
        <v>5.607182164234953</v>
      </c>
      <c r="E85" s="244"/>
      <c r="F85" s="417"/>
      <c r="G85" s="417"/>
      <c r="H85" s="417"/>
      <c r="I85" s="103"/>
    </row>
    <row r="86" spans="1:9" ht="15.75">
      <c r="A86" s="239"/>
      <c r="B86" s="97"/>
      <c r="C86" s="97"/>
      <c r="D86" s="97"/>
      <c r="E86" s="97"/>
      <c r="F86" s="417"/>
      <c r="G86" s="417"/>
      <c r="H86" s="417"/>
      <c r="I86" s="103"/>
    </row>
    <row r="87" spans="1:9" ht="18">
      <c r="A87" s="245" t="s">
        <v>157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6"/>
      <c r="B88" s="246"/>
      <c r="C88" s="246"/>
      <c r="D88" s="246"/>
      <c r="E88" s="246"/>
      <c r="F88" s="246"/>
      <c r="G88" s="246"/>
      <c r="H88" s="246"/>
      <c r="I88" s="97"/>
    </row>
    <row r="89" spans="1:9" ht="18">
      <c r="A89" s="246" t="s">
        <v>158</v>
      </c>
      <c r="B89" s="246"/>
      <c r="C89" s="246"/>
      <c r="D89" s="246"/>
      <c r="E89" s="246"/>
      <c r="F89" s="246"/>
      <c r="G89" s="246"/>
      <c r="H89" s="246"/>
      <c r="I89" s="97"/>
    </row>
    <row r="90" spans="1:9" ht="18">
      <c r="A90" s="246" t="s">
        <v>159</v>
      </c>
      <c r="B90" s="246"/>
      <c r="C90" s="246"/>
      <c r="D90" s="246"/>
      <c r="E90" s="246"/>
      <c r="F90" s="246"/>
      <c r="G90" s="246"/>
      <c r="H90" s="246"/>
      <c r="I90" s="97"/>
    </row>
    <row r="91" spans="1:9" ht="18">
      <c r="A91" s="246" t="s">
        <v>160</v>
      </c>
      <c r="B91" s="246"/>
      <c r="C91" s="246"/>
      <c r="D91" s="246"/>
      <c r="E91" s="246"/>
      <c r="F91" s="246"/>
      <c r="G91" s="246"/>
      <c r="H91" s="246"/>
      <c r="I91" s="97"/>
    </row>
    <row r="92" spans="1:9" ht="18">
      <c r="A92" s="246" t="s">
        <v>161</v>
      </c>
      <c r="B92" s="246"/>
      <c r="C92" s="246"/>
      <c r="D92" s="246"/>
      <c r="E92" s="246"/>
      <c r="F92" s="246"/>
      <c r="G92" s="246"/>
      <c r="H92" s="246"/>
      <c r="I92" s="97"/>
    </row>
    <row r="93" spans="1:9" ht="18">
      <c r="A93" s="246" t="s">
        <v>162</v>
      </c>
      <c r="B93" s="246"/>
      <c r="C93" s="246"/>
      <c r="D93" s="246"/>
      <c r="E93" s="246"/>
      <c r="F93" s="246"/>
      <c r="G93" s="246"/>
      <c r="H93" s="246"/>
      <c r="I93" s="97"/>
    </row>
    <row r="94" spans="1:9" ht="18">
      <c r="A94" s="246" t="s">
        <v>251</v>
      </c>
      <c r="B94" s="246" t="str">
        <f>B17</f>
        <v>Veículo no mínimo de 24 lugares</v>
      </c>
      <c r="C94" s="246"/>
      <c r="D94" s="246"/>
      <c r="E94" s="246"/>
      <c r="F94" s="246"/>
      <c r="G94" s="246"/>
      <c r="H94" s="246"/>
      <c r="I94" s="97"/>
    </row>
    <row r="95" spans="1:9" ht="18">
      <c r="A95" s="246" t="s">
        <v>195</v>
      </c>
      <c r="B95" s="246"/>
      <c r="C95" s="246"/>
      <c r="D95" s="246"/>
      <c r="E95" s="246"/>
      <c r="F95" s="246"/>
      <c r="G95" s="246"/>
      <c r="H95" s="246"/>
      <c r="I95" s="97"/>
    </row>
    <row r="96" spans="1:9" ht="18">
      <c r="A96" s="246" t="s">
        <v>163</v>
      </c>
      <c r="B96" s="246" t="str">
        <f>A18</f>
        <v>Veículo no máximo 25 anos de uso (fabricação acima de 1997) - Base Tabela FIPE</v>
      </c>
      <c r="C96" s="246"/>
      <c r="D96" s="246"/>
      <c r="E96" s="246"/>
      <c r="F96" s="246"/>
      <c r="G96" s="246"/>
      <c r="H96" s="246"/>
      <c r="I96" s="97"/>
    </row>
    <row r="97" spans="1:9" ht="18">
      <c r="A97" s="246" t="s">
        <v>228</v>
      </c>
      <c r="B97" s="246"/>
      <c r="C97" s="246"/>
      <c r="D97" s="246"/>
      <c r="E97" s="246"/>
      <c r="F97" s="246"/>
      <c r="G97" s="246"/>
      <c r="H97" s="246"/>
      <c r="I97" s="97"/>
    </row>
    <row r="98" spans="1:9" ht="18">
      <c r="A98" s="246" t="s">
        <v>193</v>
      </c>
      <c r="B98" s="246"/>
      <c r="C98" s="246"/>
      <c r="D98" s="246"/>
      <c r="E98" s="246"/>
      <c r="F98" s="246"/>
      <c r="G98" s="246"/>
      <c r="H98" s="246"/>
      <c r="I98" s="97"/>
    </row>
    <row r="99" spans="1:9" ht="18">
      <c r="A99" s="246" t="s">
        <v>250</v>
      </c>
      <c r="B99" s="246"/>
      <c r="C99" s="246"/>
      <c r="D99" s="246"/>
      <c r="E99" s="246"/>
      <c r="F99" s="246"/>
      <c r="G99" s="246"/>
      <c r="H99" s="246"/>
      <c r="I99" s="97"/>
    </row>
    <row r="100" spans="1:9" ht="18">
      <c r="A100" s="246" t="s">
        <v>215</v>
      </c>
      <c r="B100" s="246"/>
      <c r="C100" s="246"/>
      <c r="D100" s="246"/>
      <c r="E100" s="246"/>
      <c r="F100" s="246"/>
      <c r="G100" s="246"/>
      <c r="H100" s="246"/>
      <c r="I100" s="97"/>
    </row>
    <row r="101" spans="1:9" ht="18">
      <c r="A101" s="246" t="s">
        <v>216</v>
      </c>
      <c r="B101" s="246"/>
      <c r="C101" s="246"/>
      <c r="D101" s="246"/>
      <c r="E101" s="246"/>
      <c r="F101" s="246"/>
      <c r="G101" s="246"/>
      <c r="H101" s="246"/>
      <c r="I101" s="97"/>
    </row>
    <row r="102" spans="1:9" ht="18">
      <c r="A102" s="246" t="s">
        <v>231</v>
      </c>
      <c r="B102" s="246"/>
      <c r="C102" s="246"/>
      <c r="D102" s="246"/>
      <c r="E102" s="246"/>
      <c r="F102" s="246"/>
      <c r="G102" s="246"/>
      <c r="H102" s="246"/>
      <c r="I102" s="97"/>
    </row>
    <row r="103" spans="1:9" ht="18">
      <c r="A103" s="246" t="s">
        <v>232</v>
      </c>
      <c r="B103" s="246"/>
      <c r="C103" s="246"/>
      <c r="D103" s="246"/>
      <c r="E103" s="246"/>
      <c r="F103" s="246"/>
      <c r="G103" s="246"/>
      <c r="H103" s="246"/>
      <c r="I103" s="97"/>
    </row>
    <row r="104" spans="1:9" ht="18">
      <c r="A104" s="246" t="s">
        <v>164</v>
      </c>
      <c r="B104" s="246"/>
      <c r="C104" s="246"/>
      <c r="D104" s="246"/>
      <c r="E104" s="246"/>
      <c r="F104" s="246"/>
      <c r="G104" s="246"/>
      <c r="H104" s="246"/>
      <c r="I104" s="97"/>
    </row>
    <row r="105" spans="1:9" ht="18">
      <c r="A105" s="246" t="s">
        <v>217</v>
      </c>
      <c r="B105" s="246"/>
      <c r="C105" s="246"/>
      <c r="D105" s="246"/>
      <c r="E105" s="246"/>
      <c r="F105" s="246"/>
      <c r="G105" s="246"/>
      <c r="H105" s="246"/>
      <c r="I105" s="97"/>
    </row>
    <row r="106" spans="1:9" ht="18">
      <c r="A106" s="246" t="s">
        <v>165</v>
      </c>
      <c r="B106" s="246"/>
      <c r="C106" s="246"/>
      <c r="D106" s="246"/>
      <c r="E106" s="246"/>
      <c r="F106" s="246"/>
      <c r="G106" s="246"/>
      <c r="H106" s="246"/>
      <c r="I106" s="97"/>
    </row>
    <row r="107" spans="1:9" ht="18">
      <c r="A107" s="246" t="s">
        <v>166</v>
      </c>
      <c r="B107" s="246"/>
      <c r="C107" s="246"/>
      <c r="D107" s="246"/>
      <c r="E107" s="246"/>
      <c r="F107" s="246"/>
      <c r="G107" s="246"/>
      <c r="H107" s="246"/>
      <c r="I107" s="97"/>
    </row>
    <row r="108" spans="1:9" ht="18">
      <c r="A108" s="246" t="s">
        <v>196</v>
      </c>
      <c r="B108" s="246"/>
      <c r="C108" s="246"/>
      <c r="D108" s="246"/>
      <c r="E108" s="246"/>
      <c r="F108" s="246"/>
      <c r="G108" s="246"/>
      <c r="H108" s="246"/>
      <c r="I108" s="97"/>
    </row>
    <row r="109" spans="1:9" ht="18">
      <c r="A109" s="246" t="s">
        <v>248</v>
      </c>
      <c r="B109" s="246"/>
      <c r="C109" s="246"/>
      <c r="D109" s="246"/>
      <c r="E109" s="246"/>
      <c r="F109" s="246"/>
      <c r="G109" s="246"/>
      <c r="H109" s="246"/>
      <c r="I109" s="97"/>
    </row>
    <row r="110" spans="1:9" ht="18">
      <c r="A110" s="246" t="s">
        <v>233</v>
      </c>
      <c r="B110" s="246"/>
      <c r="C110" s="246"/>
      <c r="D110" s="246"/>
      <c r="E110" s="246"/>
      <c r="F110" s="246"/>
      <c r="G110" s="246"/>
      <c r="H110" s="246"/>
      <c r="I110" s="97"/>
    </row>
    <row r="111" spans="1:9" ht="18">
      <c r="A111" s="246" t="s">
        <v>197</v>
      </c>
      <c r="B111" s="246"/>
      <c r="C111" s="246"/>
      <c r="D111" s="246"/>
      <c r="E111" s="246"/>
      <c r="F111" s="246"/>
      <c r="G111" s="247"/>
      <c r="H111" s="246"/>
      <c r="I111" s="97"/>
    </row>
    <row r="112" spans="1:9" ht="18">
      <c r="A112" s="246" t="s">
        <v>167</v>
      </c>
      <c r="B112" s="246"/>
      <c r="C112" s="246"/>
      <c r="D112" s="246"/>
      <c r="E112" s="246"/>
      <c r="F112" s="246"/>
      <c r="G112" s="246"/>
      <c r="H112" s="246"/>
      <c r="I112" s="97"/>
    </row>
    <row r="113" spans="1:9" ht="18">
      <c r="A113" s="246" t="s">
        <v>240</v>
      </c>
      <c r="B113" s="246"/>
      <c r="C113" s="246"/>
      <c r="D113" s="246"/>
      <c r="E113" s="246"/>
      <c r="F113" s="246"/>
      <c r="G113" s="246"/>
      <c r="H113" s="246"/>
      <c r="I113" s="97"/>
    </row>
    <row r="114" spans="1:9" ht="18">
      <c r="A114" s="246" t="s">
        <v>168</v>
      </c>
      <c r="B114" s="246"/>
      <c r="C114" s="246"/>
      <c r="D114" s="246"/>
      <c r="E114" s="246"/>
      <c r="F114" s="246"/>
      <c r="G114" s="246"/>
      <c r="H114" s="246"/>
      <c r="I114" s="97"/>
    </row>
    <row r="115" spans="1:9" ht="18">
      <c r="A115" s="246" t="s">
        <v>192</v>
      </c>
      <c r="B115" s="246"/>
      <c r="C115" s="246"/>
      <c r="D115" s="246"/>
      <c r="E115" s="246"/>
      <c r="F115" s="246"/>
      <c r="G115" s="246"/>
      <c r="H115" s="246"/>
      <c r="I115" s="97"/>
    </row>
    <row r="116" spans="1:9" ht="18">
      <c r="A116" s="246" t="s">
        <v>241</v>
      </c>
      <c r="B116" s="246"/>
      <c r="C116" s="246"/>
      <c r="D116" s="246"/>
      <c r="E116" s="246"/>
      <c r="F116" s="246"/>
      <c r="G116" s="246"/>
      <c r="H116" s="246"/>
      <c r="I116" s="97"/>
    </row>
    <row r="117" spans="1:9" ht="18">
      <c r="A117" s="246" t="s">
        <v>242</v>
      </c>
      <c r="B117" s="246"/>
      <c r="C117" s="246"/>
      <c r="D117" s="246"/>
      <c r="E117" s="246"/>
      <c r="F117" s="246"/>
      <c r="G117" s="246"/>
      <c r="H117" s="246"/>
      <c r="I117" s="97"/>
    </row>
    <row r="118" spans="1:9" ht="18">
      <c r="A118" s="246" t="s">
        <v>243</v>
      </c>
      <c r="B118" s="246"/>
      <c r="C118" s="246"/>
      <c r="D118" s="246"/>
      <c r="E118" s="246"/>
      <c r="F118" s="246"/>
      <c r="G118" s="246"/>
      <c r="H118" s="246"/>
      <c r="I118" s="97"/>
    </row>
    <row r="119" spans="1:9" ht="18">
      <c r="A119" s="246" t="s">
        <v>244</v>
      </c>
      <c r="B119" s="246"/>
      <c r="C119" s="246"/>
      <c r="D119" s="246"/>
      <c r="E119" s="246"/>
      <c r="F119" s="246"/>
      <c r="G119" s="246"/>
      <c r="H119" s="246"/>
      <c r="I119" s="97"/>
    </row>
    <row r="120" spans="1:9" ht="18">
      <c r="A120" s="246" t="s">
        <v>169</v>
      </c>
      <c r="B120" s="246"/>
      <c r="C120" s="246"/>
      <c r="D120" s="246"/>
      <c r="E120" s="246"/>
      <c r="F120" s="246"/>
      <c r="G120" s="246"/>
      <c r="H120" s="246"/>
      <c r="I120" s="97"/>
    </row>
    <row r="121" spans="1:9" ht="18">
      <c r="A121" s="246" t="s">
        <v>170</v>
      </c>
      <c r="B121" s="246"/>
      <c r="C121" s="246"/>
      <c r="D121" s="246"/>
      <c r="E121" s="246"/>
      <c r="F121" s="246"/>
      <c r="G121" s="246"/>
      <c r="H121" s="246"/>
      <c r="I121" s="97"/>
    </row>
    <row r="122" spans="1:9" ht="18">
      <c r="A122" s="246" t="s">
        <v>171</v>
      </c>
      <c r="B122" s="246"/>
      <c r="C122" s="246"/>
      <c r="D122" s="246"/>
      <c r="E122" s="246"/>
      <c r="F122" s="246"/>
      <c r="G122" s="246"/>
      <c r="H122" s="246"/>
      <c r="I122" s="97"/>
    </row>
    <row r="123" spans="1:9" ht="18">
      <c r="A123" s="246" t="s">
        <v>172</v>
      </c>
      <c r="B123" s="246"/>
      <c r="C123" s="246"/>
      <c r="D123" s="246"/>
      <c r="E123" s="246"/>
      <c r="F123" s="246"/>
      <c r="G123" s="246"/>
      <c r="H123" s="246"/>
      <c r="I123" s="97"/>
    </row>
    <row r="124" spans="1:9" ht="18">
      <c r="A124" s="246" t="s">
        <v>234</v>
      </c>
      <c r="B124" s="246"/>
      <c r="C124" s="246"/>
      <c r="D124" s="246"/>
      <c r="E124" s="246"/>
      <c r="F124" s="246"/>
      <c r="G124" s="246"/>
      <c r="H124" s="246"/>
      <c r="I124" s="97"/>
    </row>
    <row r="125" spans="1:9" ht="18">
      <c r="A125" s="246" t="s">
        <v>173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6" t="s">
        <v>245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6" t="s">
        <v>174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6" t="s">
        <v>175</v>
      </c>
      <c r="B128" s="97"/>
      <c r="C128" s="97"/>
      <c r="D128" s="97"/>
      <c r="E128" s="97"/>
      <c r="F128" s="97"/>
      <c r="G128" s="97"/>
      <c r="H128" s="97"/>
      <c r="I128" s="97"/>
    </row>
    <row r="129" spans="1:9" ht="18">
      <c r="A129" s="246" t="s">
        <v>176</v>
      </c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6" t="s">
        <v>177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6" t="s">
        <v>178</v>
      </c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6" t="s">
        <v>247</v>
      </c>
      <c r="B132" s="97"/>
      <c r="C132" s="97"/>
      <c r="D132" s="97"/>
      <c r="E132" s="97"/>
      <c r="F132" s="97"/>
      <c r="G132" s="97"/>
      <c r="H132" s="97"/>
      <c r="I132" s="97"/>
    </row>
    <row r="133" spans="1:9" ht="16.5">
      <c r="A133" s="248"/>
      <c r="B133" s="97"/>
      <c r="C133" s="97"/>
      <c r="D133" s="97"/>
      <c r="E133" s="97"/>
      <c r="F133" s="97"/>
      <c r="G133" s="97"/>
      <c r="H133" s="97"/>
      <c r="I133" s="97"/>
    </row>
    <row r="134" spans="1:9" ht="18">
      <c r="A134" s="246" t="str">
        <f>'Resumo '!A39</f>
        <v>Espumoso, 29 de março de 2022</v>
      </c>
      <c r="B134" s="97"/>
      <c r="C134" s="97"/>
      <c r="D134" s="97"/>
      <c r="E134" s="97"/>
      <c r="F134" s="97"/>
      <c r="G134" s="97"/>
      <c r="H134" s="97"/>
      <c r="I134" s="97"/>
    </row>
    <row r="135" spans="1:9" ht="18">
      <c r="A135" s="246"/>
      <c r="B135" s="97"/>
      <c r="C135" s="97"/>
      <c r="D135" s="97"/>
      <c r="E135" s="97"/>
      <c r="F135" s="97"/>
      <c r="G135" s="97"/>
      <c r="H135" s="97"/>
      <c r="I135" s="97"/>
    </row>
    <row r="136" spans="1:9" ht="18">
      <c r="A136" s="246"/>
      <c r="B136" s="97"/>
      <c r="C136" s="97"/>
      <c r="D136" s="97"/>
      <c r="E136" s="97"/>
      <c r="F136" s="97"/>
      <c r="G136" s="97"/>
      <c r="H136" s="97"/>
      <c r="I136" s="97"/>
    </row>
    <row r="137" spans="1:9" ht="18">
      <c r="A137" s="246" t="s">
        <v>179</v>
      </c>
      <c r="B137" s="97"/>
      <c r="C137" s="97"/>
      <c r="D137" s="97"/>
      <c r="E137" s="97"/>
      <c r="F137" s="97"/>
      <c r="G137" s="97"/>
      <c r="H137" s="97"/>
      <c r="I137" s="97"/>
    </row>
    <row r="138" spans="1:9" ht="12.75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9" ht="12.75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9" ht="12.75">
      <c r="A140" s="97"/>
      <c r="B140" s="97"/>
      <c r="C140" s="97"/>
      <c r="D140" s="97"/>
      <c r="E140" s="97"/>
      <c r="F140" s="97"/>
      <c r="G140" s="97"/>
      <c r="H140" s="97"/>
      <c r="I140" s="97"/>
    </row>
  </sheetData>
  <sheetProtection/>
  <mergeCells count="25">
    <mergeCell ref="A18:F18"/>
    <mergeCell ref="B7:C7"/>
    <mergeCell ref="B8:C8"/>
    <mergeCell ref="B10:C10"/>
    <mergeCell ref="B12:C12"/>
    <mergeCell ref="B13:C13"/>
    <mergeCell ref="A16:F16"/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Prefeitura</cp:lastModifiedBy>
  <cp:lastPrinted>2022-04-27T14:43:57Z</cp:lastPrinted>
  <dcterms:created xsi:type="dcterms:W3CDTF">2000-12-13T10:02:50Z</dcterms:created>
  <dcterms:modified xsi:type="dcterms:W3CDTF">2022-04-27T14:45:11Z</dcterms:modified>
  <cp:category/>
  <cp:version/>
  <cp:contentType/>
  <cp:contentStatus/>
</cp:coreProperties>
</file>